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H1/5KbQmacYlVJ7N6pv9HFfRyXtyPjnoEgXkVMtlnH7jGABQcmp5WloiAn6oY2LW0D8AChnGNfvtGjkFJgZhQ==" workbookSaltValue="UaTcLF16yAYCVRdLuXyV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E15" i="2"/>
  <c r="E16" i="2"/>
  <c r="E17" i="2"/>
  <c r="C16" i="2"/>
  <c r="D16" i="2" s="1"/>
  <c r="C17" i="2"/>
  <c r="D17" i="2" s="1"/>
  <c r="I9" i="2"/>
  <c r="I10" i="2"/>
  <c r="I11" i="2"/>
  <c r="I12" i="2"/>
  <c r="AO12" i="17" s="1"/>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AT18" i="17"/>
  <c r="N10" i="11"/>
  <c r="T10" i="21"/>
  <c r="V10" i="21" s="1"/>
  <c r="F10" i="10"/>
  <c r="N11" i="11"/>
  <c r="ES19" i="8"/>
  <c r="C18" i="7"/>
  <c r="S19" i="13"/>
  <c r="AG19" i="19"/>
  <c r="CI19" i="8"/>
  <c r="F17" i="16"/>
  <c r="BL17" i="16" s="1"/>
  <c r="EP19" i="8"/>
  <c r="ER19" i="13"/>
  <c r="AL13" i="16"/>
  <c r="BL9" i="11"/>
  <c r="P17" i="17"/>
  <c r="BK9" i="11"/>
  <c r="S13" i="16"/>
  <c r="H18" i="16"/>
  <c r="P13" i="16"/>
  <c r="AN13" i="20"/>
  <c r="Z13" i="17"/>
  <c r="F17" i="17"/>
  <c r="AQ17" i="17" s="1"/>
  <c r="M13" i="2"/>
  <c r="AO12" i="11"/>
  <c r="B12" i="6"/>
  <c r="AC10" i="11"/>
  <c r="AJ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C17" i="6"/>
  <c r="AY18" i="8"/>
  <c r="Y19" i="8"/>
  <c r="AW18" i="21"/>
  <c r="H15" i="2"/>
  <c r="T19" i="8"/>
  <c r="F11" i="11"/>
  <c r="AQ11" i="11" s="1"/>
  <c r="C11" i="6"/>
  <c r="H13" i="12"/>
  <c r="AB19" i="8"/>
  <c r="F9" i="11"/>
  <c r="AY13" i="8"/>
  <c r="BE9" i="8"/>
  <c r="C19" i="3"/>
  <c r="AO17" i="11"/>
  <c r="E11" i="6"/>
  <c r="AO16" i="11"/>
  <c r="F9" i="2"/>
  <c r="L12" i="14"/>
  <c r="AO9" i="11"/>
  <c r="H12" i="2"/>
  <c r="M18" i="2"/>
  <c r="M19" i="2" s="1"/>
  <c r="N18" i="2"/>
  <c r="N19" i="2" s="1"/>
  <c r="AL11" i="11"/>
  <c r="B9" i="6"/>
  <c r="AY13" i="13"/>
  <c r="BE9" i="13"/>
  <c r="AZ13" i="13"/>
  <c r="BB13" i="13"/>
  <c r="F15" i="17"/>
  <c r="C10" i="6"/>
  <c r="I10" i="12" s="1"/>
  <c r="BE15" i="13"/>
  <c r="BA18" i="13"/>
  <c r="BF18" i="13" s="1"/>
  <c r="BG15" i="8"/>
  <c r="K15" i="7" s="1"/>
  <c r="E15" i="6"/>
  <c r="BD15" i="8"/>
  <c r="H15" i="7" s="1"/>
  <c r="BE15" i="8"/>
  <c r="BG16" i="8"/>
  <c r="E18" i="2"/>
  <c r="F18" i="2" s="1"/>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Q9" i="11" s="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1" l="1"/>
  <c r="F18" i="17"/>
  <c r="K15" i="12"/>
  <c r="B19" i="7"/>
  <c r="D19" i="12"/>
  <c r="D19" i="5"/>
  <c r="F19" i="7"/>
  <c r="K9" i="12"/>
  <c r="H13" i="2"/>
  <c r="B18" i="6"/>
  <c r="AM13" i="11"/>
  <c r="I15" i="12"/>
  <c r="AL18" i="11"/>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<sst xmlns="http://schemas.openxmlformats.org/spreadsheetml/2006/main" count="2088" uniqueCount="918">
  <si>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</si>
  <si>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</si>
  <si>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</si>
  <si>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</si>
  <si>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</si>
  <si>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</si>
  <si>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</si>
  <si>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</si>
  <si>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</si>
  <si>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</si>
  <si>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</si>
  <si>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</si>
  <si>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</si>
  <si>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</si>
  <si>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</si>
  <si>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</si>
  <si>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</si>
  <si>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</si>
  <si>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</si>
  <si>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</si>
  <si>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</si>
  <si>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</si>
  <si>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</si>
  <si>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</si>
  <si>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</si>
  <si>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</si>
  <si>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</si>
  <si>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</si>
  <si>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</si>
  <si>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</si>
  <si>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</si>
  <si>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</si>
  <si>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</si>
  <si>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</si>
  <si>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</si>
  <si>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</si>
  <si>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</si>
  <si>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</si>
  <si>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</si>
  <si>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</si>
  <si>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</si>
  <si>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</si>
  <si>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</si>
  <si>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</si>
  <si>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</si>
  <si>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</si>
  <si>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</si>
  <si>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</si>
  <si>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</si>
  <si>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</si>
  <si>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</si>
  <si>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</si>
  <si>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</si>
  <si>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</si>
  <si>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</si>
  <si>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</si>
  <si>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</si>
  <si>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</si>
  <si>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</si>
  <si>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</si>
  <si>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</si>
  <si>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</si>
  <si>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</si>
  <si>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</si>
  <si>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</si>
  <si>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</si>
  <si>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</si>
  <si>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</si>
  <si>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</si>
  <si>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</si>
  <si>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</si>
  <si>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</si>
  <si>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</si>
  <si>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</si>
  <si>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</si>
  <si>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</si>
  <si>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</si>
  <si>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</si>
  <si>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</si>
  <si>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</si>
  <si>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</si>
  <si>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</si>
  <si>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</si>
  <si>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</si>
  <si>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</si>
  <si>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</si>
  <si>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</si>
  <si>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</si>
  <si>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</si>
  <si>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</si>
  <si>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</si>
  <si>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</si>
  <si>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</si>
  <si>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</si>
  <si>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</si>
  <si>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</si>
  <si>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</si>
  <si>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</si>
  <si>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</si>
  <si>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</si>
  <si>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</si>
  <si>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</si>
  <si>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</si>
  <si>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</si>
  <si>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</si>
  <si>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</si>
  <si>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</si>
  <si>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</si>
  <si>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</si>
  <si>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</si>
  <si>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</si>
  <si>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</si>
  <si>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</si>
  <si>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</si>
  <si>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</si>
  <si>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</si>
  <si>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</si>
  <si>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</si>
  <si>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</si>
  <si>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</si>
  <si>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</si>
  <si>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</si>
  <si>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</si>
  <si>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</si>
  <si>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</si>
  <si>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</si>
  <si>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</si>
  <si>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</si>
  <si>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</si>
  <si>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</si>
  <si>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</si>
  <si>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</si>
  <si>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</si>
  <si>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</si>
  <si>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</si>
  <si>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</si>
  <si>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</si>
  <si>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</si>
  <si>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</si>
  <si>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</si>
  <si>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</si>
  <si>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</si>
  <si>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</si>
  <si>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</si>
  <si>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</si>
  <si>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</si>
  <si>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</si>
  <si>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</si>
  <si>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</si>
  <si>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</si>
  <si>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</si>
  <si>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</si>
  <si>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</si>
  <si>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</si>
  <si>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</si>
  <si>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</si>
  <si>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</si>
  <si>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</si>
  <si>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</si>
  <si>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</si>
  <si>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</si>
  <si>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</si>
  <si>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</si>
  <si>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</si>
  <si>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</si>
  <si>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</si>
  <si>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</si>
  <si>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</si>
  <si>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</si>
  <si>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</si>
  <si>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</si>
  <si>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</si>
  <si>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</si>
  <si>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</si>
  <si>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</si>
  <si>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</si>
  <si>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</si>
  <si>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</si>
  <si>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</si>
  <si>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</si>
  <si>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</si>
  <si>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</si>
  <si>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</si>
  <si>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</si>
  <si>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</si>
  <si>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</si>
  <si>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</si>
  <si>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</si>
  <si>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</si>
  <si>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</si>
  <si>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</si>
  <si>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</si>
  <si>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</si>
  <si>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</si>
  <si>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</si>
  <si>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</si>
  <si>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</si>
  <si>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</si>
  <si>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</si>
  <si>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</si>
  <si>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</si>
  <si>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</si>
  <si>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</si>
  <si>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</si>
  <si>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</si>
  <si>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</si>
  <si>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</si>
  <si>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</si>
  <si>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</si>
  <si>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</si>
  <si>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</si>
  <si>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</si>
  <si>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</si>
  <si>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</si>
  <si>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</si>
  <si>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</si>
  <si>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</si>
  <si>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</si>
  <si>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</si>
  <si>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</si>
  <si>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</si>
  <si>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</si>
  <si>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</si>
  <si>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</si>
  <si>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</si>
  <si>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</si>
  <si>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</si>
  <si>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</si>
  <si>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</si>
  <si>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</si>
  <si>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</si>
  <si>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</si>
  <si>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</si>
  <si>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</si>
  <si>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</si>
  <si>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</si>
  <si>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</si>
  <si>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</si>
  <si>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</si>
  <si>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</si>
  <si>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</si>
  <si>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</si>
  <si>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</si>
  <si>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</si>
  <si>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</si>
  <si>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</si>
  <si>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</si>
  <si>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</si>
  <si>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</si>
  <si>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</si>
  <si>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</si>
  <si>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</si>
  <si>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</si>
  <si>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</si>
  <si>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</si>
  <si>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</si>
  <si>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</si>
  <si>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</si>
  <si>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</si>
  <si>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</si>
  <si>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</si>
  <si>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</si>
  <si>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</si>
  <si>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</si>
  <si>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</si>
  <si>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</si>
  <si>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</si>
  <si>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</si>
  <si>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</si>
  <si>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</si>
  <si>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</si>
  <si>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</si>
  <si>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</si>
  <si>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</si>
  <si>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</si>
  <si>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</si>
  <si>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</si>
  <si>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</si>
  <si>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</si>
  <si>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</si>
  <si>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</si>
  <si>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</si>
  <si>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</si>
  <si>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</si>
  <si>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</si>
  <si>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</si>
  <si>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</si>
  <si>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</si>
  <si>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</si>
  <si>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</si>
  <si>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</si>
  <si>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</si>
  <si>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</si>
  <si>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</si>
  <si>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</si>
  <si>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</si>
  <si>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</si>
  <si>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</si>
  <si>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</si>
  <si>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</si>
  <si>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</si>
  <si>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</si>
  <si>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</si>
  <si>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</si>
  <si>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</si>
  <si>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</si>
  <si>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</si>
  <si>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</si>
  <si>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</si>
  <si>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</si>
  <si>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</si>
  <si>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</si>
  <si>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</si>
  <si>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</si>
  <si>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</si>
  <si>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</si>
  <si>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</si>
  <si>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</si>
  <si>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</si>
  <si>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</si>
  <si>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</si>
  <si>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</si>
  <si>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</si>
  <si>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</si>
  <si>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</si>
  <si>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</si>
  <si>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</si>
  <si>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</si>
  <si>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</si>
  <si>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</si>
  <si>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</si>
  <si>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</si>
  <si>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</si>
  <si>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</si>
  <si>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</si>
  <si>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</si>
  <si>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</si>
  <si>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</si>
  <si>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</si>
  <si>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</si>
  <si>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</si>
  <si>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</si>
  <si>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</si>
  <si>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</si>
  <si>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</si>
  <si>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</si>
  <si>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</si>
  <si>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</si>
  <si>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</si>
  <si>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</si>
  <si>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</si>
  <si>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</si>
  <si>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</si>
  <si>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</si>
  <si>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</si>
  <si>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</si>
  <si>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</si>
  <si>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</si>
  <si>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</si>
  <si>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</si>
  <si>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</si>
  <si>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</si>
  <si>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</si>
  <si>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</si>
  <si>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</si>
  <si>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</si>
  <si>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</si>
  <si>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</si>
  <si>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</si>
  <si>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</si>
  <si>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</si>
  <si>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</si>
  <si>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</si>
  <si>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</si>
  <si>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</si>
  <si>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</si>
  <si>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</si>
  <si>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</si>
  <si>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</si>
  <si>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</si>
  <si>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</si>
  <si>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</si>
  <si>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</si>
  <si>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</si>
  <si>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</si>
  <si>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</si>
  <si>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</si>
  <si>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</si>
  <si>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</si>
  <si>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</si>
  <si>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</si>
  <si>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</si>
  <si>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</si>
  <si>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</si>
  <si>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</si>
  <si>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</si>
  <si>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</si>
  <si>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</si>
  <si>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</si>
  <si>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</si>
  <si>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</si>
  <si>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</si>
  <si>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</si>
  <si>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</si>
  <si>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</si>
  <si>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</si>
  <si>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</si>
  <si>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</si>
  <si>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</si>
  <si>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</si>
  <si>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</si>
  <si>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</si>
  <si>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</si>
  <si>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</si>
  <si>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</si>
  <si>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</si>
  <si>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</si>
  <si>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</si>
  <si>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</si>
  <si>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</si>
  <si>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</si>
  <si>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</si>
  <si>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</si>
  <si>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</si>
  <si>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</si>
  <si>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</si>
  <si>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</si>
  <si>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</si>
  <si>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</si>
  <si>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</si>
  <si>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</si>
  <si>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</si>
  <si>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</si>
  <si>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</si>
  <si>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</si>
  <si>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</si>
  <si>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</si>
  <si>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</si>
  <si>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</si>
  <si>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</si>
  <si>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</si>
  <si>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</si>
  <si>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</si>
  <si>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</si>
  <si>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</si>
  <si>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</si>
  <si>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</si>
  <si>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</si>
  <si>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</si>
  <si>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</si>
  <si>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</si>
  <si>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</si>
  <si>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</si>
  <si>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</si>
  <si>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</si>
  <si>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</si>
  <si>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</si>
  <si>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</si>
  <si>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</si>
  <si>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</si>
  <si>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</si>
  <si>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</si>
  <si>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</si>
  <si>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</si>
  <si>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</si>
  <si>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</si>
  <si>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</si>
  <si>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</si>
  <si>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</si>
  <si>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</si>
  <si>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</si>
  <si>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</si>
  <si>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</si>
  <si>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</si>
  <si>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</si>
  <si>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</si>
  <si>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</si>
  <si>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</si>
  <si>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</si>
  <si>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</si>
  <si>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</si>
  <si>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</si>
  <si>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</si>
  <si>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</si>
  <si>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</si>
  <si>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</si>
  <si>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</si>
  <si>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</si>
  <si>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</si>
  <si>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</si>
  <si>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</si>
  <si>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</si>
  <si>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</si>
  <si>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</si>
  <si>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</si>
  <si>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</si>
  <si>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</si>
  <si>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</si>
  <si>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</si>
  <si>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</si>
  <si>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</si>
  <si>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</si>
  <si>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</si>
  <si>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</si>
  <si>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</si>
  <si>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</si>
  <si>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</si>
  <si>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</si>
  <si>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</si>
  <si>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</si>
  <si>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</si>
  <si>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</si>
  <si>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</si>
  <si>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</si>
  <si>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</si>
  <si>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</si>
  <si>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</si>
  <si>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</si>
  <si>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</si>
  <si>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</si>
  <si>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</si>
  <si>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</si>
  <si>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</si>
  <si>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</si>
  <si>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</si>
  <si>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</si>
  <si>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</si>
  <si>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</si>
  <si>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</si>
  <si>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</si>
  <si>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</si>
  <si>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</si>
  <si>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</si>
  <si>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</si>
  <si>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</si>
  <si>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</si>
  <si>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</si>
  <si>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</si>
  <si>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</si>
  <si>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</si>
  <si>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</si>
  <si>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</si>
  <si>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</si>
  <si>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</si>
  <si>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</si>
  <si>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</si>
  <si>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</si>
  <si>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</si>
  <si>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</si>
  <si>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</si>
  <si>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</si>
  <si>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</si>
  <si>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</si>
  <si>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</si>
  <si>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</si>
  <si>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</si>
  <si>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</si>
  <si>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</si>
  <si>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</si>
  <si>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</si>
  <si>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</si>
  <si>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</si>
  <si>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</si>
  <si>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</si>
  <si>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</si>
  <si>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</si>
  <si>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</si>
  <si>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</si>
  <si>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</si>
  <si>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</si>
  <si>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</si>
  <si>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</si>
  <si>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</si>
  <si>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</si>
  <si>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</si>
  <si>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</si>
  <si>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</si>
  <si>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</si>
  <si>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</si>
  <si>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</si>
  <si>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</si>
  <si>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</si>
  <si>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</si>
  <si>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</si>
  <si>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</si>
  <si>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</si>
  <si>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</si>
  <si>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</si>
  <si>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</si>
  <si>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</si>
  <si>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</si>
  <si>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</si>
  <si>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</si>
  <si>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</si>
  <si>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</si>
  <si>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</si>
  <si>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</si>
  <si>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</si>
  <si>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</si>
  <si>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</si>
  <si>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</si>
  <si>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</si>
  <si>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</si>
  <si>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</si>
  <si>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</si>
  <si>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</si>
  <si>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</si>
  <si>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</si>
  <si>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</si>
  <si>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</si>
  <si>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</si>
  <si>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</si>
  <si>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</si>
  <si>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</si>
  <si>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</si>
  <si>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</si>
  <si>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</si>
  <si>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</si>
  <si>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</si>
  <si>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</si>
  <si>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</si>
  <si>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</si>
  <si>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</si>
  <si>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</si>
  <si>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</si>
  <si>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</si>
  <si>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</si>
  <si>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</si>
  <si>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</si>
  <si>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</si>
  <si>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</si>
  <si>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</si>
  <si>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</si>
  <si>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</si>
  <si>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</si>
  <si>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</si>
  <si>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</si>
  <si>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</si>
  <si>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</si>
  <si>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</si>
  <si>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</si>
  <si>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</si>
  <si>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</si>
  <si>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</si>
  <si>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</si>
  <si>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</si>
  <si>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</si>
  <si>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</si>
  <si>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</si>
  <si>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</si>
  <si>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</si>
  <si>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</si>
  <si>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</si>
  <si>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</si>
  <si>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</si>
  <si>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</si>
  <si>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</si>
  <si>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</si>
  <si>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</si>
  <si>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</si>
  <si>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</si>
  <si>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</si>
  <si>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</si>
  <si>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</si>
  <si>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</si>
  <si>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</si>
  <si>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</si>
  <si>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</si>
  <si>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</si>
  <si>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</si>
  <si>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</si>
  <si>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</si>
  <si>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</si>
  <si>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</si>
  <si>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</si>
  <si>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</si>
  <si>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</si>
  <si>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</si>
  <si>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</si>
  <si>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</si>
  <si>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</si>
  <si>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</si>
  <si>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</si>
  <si>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</si>
  <si>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</si>
  <si>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</si>
  <si>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</si>
  <si>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</si>
  <si>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</si>
  <si>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</si>
  <si>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</si>
  <si>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</si>
  <si>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</si>
  <si>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</si>
  <si>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</si>
  <si>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</si>
  <si>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</si>
  <si>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</si>
  <si>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</si>
  <si>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</si>
  <si>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</si>
  <si>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</si>
  <si>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</si>
  <si>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</si>
  <si>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</si>
  <si>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</si>
  <si>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</si>
  <si>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</si>
  <si>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</si>
  <si>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</si>
  <si>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</si>
  <si>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</si>
  <si>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</si>
  <si>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</si>
  <si>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</si>
  <si>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</si>
  <si>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</si>
  <si>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</si>
  <si>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</si>
  <si>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</si>
  <si>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</si>
  <si>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</si>
  <si>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</si>
  <si>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</si>
  <si>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</si>
  <si>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</si>
  <si>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</si>
  <si>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</si>
  <si>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</si>
  <si>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</si>
  <si>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</si>
  <si>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</si>
  <si>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</si>
  <si>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</si>
  <si>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</si>
  <si>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</si>
  <si>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</si>
  <si>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</si>
  <si>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</si>
  <si>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</si>
  <si>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</si>
  <si>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</si>
  <si>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</si>
  <si>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</si>
  <si>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</si>
  <si>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</si>
  <si>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</si>
  <si>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</si>
  <si>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</si>
  <si>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</si>
  <si>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</si>
  <si>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</si>
  <si>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</si>
  <si>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</si>
  <si>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</si>
  <si>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</si>
  <si>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</si>
  <si>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</si>
  <si>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</si>
  <si>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</si>
  <si>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</si>
  <si>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</si>
  <si>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</si>
  <si>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</si>
  <si>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</si>
  <si>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</si>
  <si>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</si>
  <si>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</si>
  <si>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</si>
  <si>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</si>
  <si>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</si>
  <si>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</si>
  <si>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</si>
  <si>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</si>
  <si>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</si>
  <si>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</si>
  <si>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</si>
  <si>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</si>
  <si>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</si>
  <si>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</si>
  <si>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</si>
  <si>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</si>
  <si>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</si>
  <si>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</si>
  <si>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</si>
  <si>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</si>
  <si>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</si>
  <si>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</si>
  <si>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</si>
  <si>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</si>
  <si>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</si>
  <si>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</si>
  <si>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</si>
  <si>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</si>
  <si>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</si>
  <si>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</si>
  <si>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</si>
  <si>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</si>
  <si>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</si>
  <si>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</si>
  <si>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</si>
  <si>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</si>
  <si>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</si>
  <si>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</si>
  <si>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</si>
  <si>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</si>
  <si>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</si>
  <si>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</si>
  <si>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</si>
  <si>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</si>
  <si>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</si>
  <si>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</si>
  <si>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</si>
  <si>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</si>
  <si>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</si>
  <si>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</si>
  <si>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</si>
  <si>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</si>
  <si>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</si>
  <si>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</si>
  <si>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</si>
  <si>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</si>
  <si>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</si>
  <si>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</si>
  <si>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</si>
  <si>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</si>
  <si>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</si>
  <si>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</si>
  <si>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</si>
  <si>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</si>
  <si>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</si>
  <si>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</si>
  <si>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</si>
  <si>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</si>
  <si>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</si>
  <si>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</si>
  <si>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</si>
  <si>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</si>
  <si>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</si>
  <si>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</si>
  <si>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</si>
  <si>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</si>
  <si>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</si>
  <si>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</si>
  <si>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</si>
  <si>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</si>
  <si>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</si>
  <si>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</si>
  <si>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</si>
  <si>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</si>
  <si>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</si>
  <si>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</si>
  <si>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</si>
  <si>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</si>
  <si>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</si>
  <si>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</si>
  <si>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</si>
  <si>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</si>
  <si>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</si>
  <si>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</si>
  <si>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</si>
  <si>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</si>
  <si>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</si>
  <si>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</si>
  <si>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</si>
  <si>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</si>
  <si>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</si>
  <si>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</si>
  <si>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</si>
  <si>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</si>
  <si>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</si>
  <si>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</si>
  <si>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</si>
  <si>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</si>
  <si>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</si>
  <si>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</si>
  <si>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</si>
  <si>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</si>
  <si>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</si>
  <si>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</si>
  <si>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</si>
  <si>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</si>
  <si>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</si>
  <si>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</si>
  <si>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</si>
  <si>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</si>
  <si>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</si>
  <si>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</si>
  <si>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</si>
  <si>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</si>
  <si>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</si>
  <si>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</si>
  <si>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</si>
  <si>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</si>
  <si>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</si>
  <si>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</si>
  <si>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</si>
  <si>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</si>
  <si>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</si>
  <si>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</si>
  <si>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</si>
  <si>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</si>
  <si>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</si>
  <si>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</si>
  <si>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</si>
  <si>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</si>
  <si>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</si>
  <si>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</si>
  <si>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</si>
  <si>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</si>
  <si>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</si>
  <si>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</si>
  <si>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</si>
  <si>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</si>
  <si>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</si>
  <si>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</si>
  <si>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</si>
  <si>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ELX-ELCHE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</si>
</sst>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2Gmg5SyN+QM5NY41JpyLyiZooa787ceSSAOyV4kjn4hodchYGUQbMV1ggT022qiNNFzxJDY8MjJrfhM9CoC+w==" saltValue="/i/tRTpcF4i+4qv3TuCk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34.133002598629815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132</v>
      </c>
      <c r="D10" s="224">
        <f>IF(ISNUMBER(Datos!I10),Datos!I10," - ")</f>
        <v>132</v>
      </c>
      <c r="E10" s="225">
        <f>IF(ISNUMBER(Datos!J10),Datos!J10," - ")</f>
        <v>90</v>
      </c>
      <c r="F10" s="225">
        <f>IF(ISNUMBER(Datos!K10),Datos!K10," - ")</f>
        <v>80</v>
      </c>
      <c r="G10" s="1033" t="str">
        <f>IF(Datos!E10&lt;&gt;"",Datos!E10,Datos!D10)</f>
        <v>37</v>
      </c>
      <c r="H10" s="226">
        <f>IF(ISNUMBER(Datos!L10),Datos!L10," - ")</f>
        <v>142</v>
      </c>
      <c r="I10" s="1043" t="str">
        <f>IF(ISNUMBER(Datos!AS10/Datos!BM10),Datos!AS10/Datos!BM10," - ")</f>
        <v xml:space="preserve"> - </v>
      </c>
      <c r="J10" s="1044">
        <f>IF(ISNUMBER(Datos!BY10/Datos!CN10),Datos!BY10/Datos!CN10," - ")</f>
        <v>0</v>
      </c>
      <c r="K10" s="229">
        <f t="shared" ref="K10:K12" si="1">IF(ISNUMBER((E10-F10)/C10),(E10-F10)/C10," - ")</f>
        <v>7.575757575757576E-2</v>
      </c>
      <c r="L10" s="1024">
        <f>IF(ISNUMBER(NºAsuntos!I10/NºAsuntos!G10),(NºAsuntos!I10/NºAsuntos!G10)*11," - ")</f>
        <v>19.524999999999999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16.243980738362758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132</v>
      </c>
      <c r="D13" s="1048">
        <f>SUBTOTAL(9,D9:D12)</f>
        <v>132</v>
      </c>
      <c r="E13" s="1049">
        <f>SUBTOTAL(9,E9:E12)</f>
        <v>90</v>
      </c>
      <c r="F13" s="1050">
        <f>SUBTOTAL(9,F9:F12)</f>
        <v>80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2856</v>
      </c>
      <c r="D15" s="224">
        <f>IF(ISNUMBER(IF(D_I="SI",Datos!I15,Datos!I15+Datos!AC15)),IF(D_I="SI",Datos!I15,Datos!I15+Datos!AC15)," - ")</f>
        <v>2966</v>
      </c>
      <c r="E15" s="225">
        <f>IF(ISNUMBER(IF(D_I="SI",Datos!J15,Datos!J15+Datos!AD15)),IF(D_I="SI",Datos!J15,Datos!J15+Datos!AD15)," - ")</f>
        <v>2905</v>
      </c>
      <c r="F15" s="225">
        <f>IF(ISNUMBER(IF(D_I="SI",Datos!K15,Datos!K15+Datos!AE15)),IF(D_I="SI",Datos!K15,Datos!K15+Datos!AE15)," - ")</f>
        <v>2744</v>
      </c>
      <c r="G15" s="1033" t="str">
        <f>IF(Datos!E15&lt;&gt;"",Datos!E15,Datos!D15)</f>
        <v>03</v>
      </c>
      <c r="H15" s="226">
        <f>IF(ISNUMBER(IF(D_I="SI",Datos!L15,Datos!L15+Datos!AF15)),IF(D_I="SI",Datos!L15,Datos!L15+Datos!AF15)," - ")</f>
        <v>3017</v>
      </c>
      <c r="I15" s="1043" t="str">
        <f>IF(ISNUMBER(Datos!AS15/Datos!BM15),Datos!AS15/Datos!BM15," - ")</f>
        <v xml:space="preserve"> - </v>
      </c>
      <c r="J15" s="1044">
        <f>IF(ISNUMBER(Datos!BY15/Datos!CN15),Datos!BY15/Datos!CN15," - ")</f>
        <v>0</v>
      </c>
      <c r="K15" s="229">
        <f t="shared" ref="K15:K17" si="3">IF(ISNUMBER((E15-F15)/C15),(E15-F15)/C15," - ")</f>
        <v>5.6372549019607844E-2</v>
      </c>
      <c r="L15" s="1024">
        <f>IF(ISNUMBER(NºAsuntos!I15/NºAsuntos!G15),(NºAsuntos!I15/NºAsuntos!G15)*11," - ")</f>
        <v>12.094387755102041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251</v>
      </c>
      <c r="D17" s="224">
        <f>IF(ISNUMBER(IF(D_I="SI",Datos!I17,Datos!I17+Datos!AC17)),IF(D_I="SI",Datos!I17,Datos!I17+Datos!AC17)," - ")</f>
        <v>251</v>
      </c>
      <c r="E17" s="225">
        <f>IF(ISNUMBER(IF(D_I="SI",Datos!J17,Datos!J17+Datos!AD17)),IF(D_I="SI",Datos!J17,Datos!J17+Datos!AD17)," - ")</f>
        <v>538</v>
      </c>
      <c r="F17" s="225">
        <f>IF(ISNUMBER(IF(D_I="SI",Datos!K17,Datos!K17+Datos!AE17)),IF(D_I="SI",Datos!K17,Datos!K17+Datos!AE17)," - ")</f>
        <v>540</v>
      </c>
      <c r="G17" s="1033" t="str">
        <f>IF(Datos!E17&lt;&gt;"",Datos!E17,Datos!D17)</f>
        <v>37</v>
      </c>
      <c r="H17" s="226">
        <f>IF(ISNUMBER(IF(D_I="SI",Datos!L17,Datos!L17+Datos!AF17)),IF(D_I="SI",Datos!L17,Datos!L17+Datos!AF17)," - ")</f>
        <v>249</v>
      </c>
      <c r="I17" s="1043" t="str">
        <f>IF(ISNUMBER(Datos!AS17/Datos!BM17),Datos!AS17/Datos!BM17," - ")</f>
        <v xml:space="preserve"> - </v>
      </c>
      <c r="J17" s="1044" t="str">
        <f>IF(ISNUMBER((Datos!BY17+Datos!BZ17)/Datos!CN17),(Datos!BY17+Datos!BZ17)/Datos!CN17," - ")</f>
        <v xml:space="preserve"> - </v>
      </c>
      <c r="K17" s="229">
        <f t="shared" si="3"/>
        <v>-7.9681274900398405E-3</v>
      </c>
      <c r="L17" s="1024">
        <f>IF(ISNUMBER(NºAsuntos!I17/NºAsuntos!G17),(NºAsuntos!I17/NºAsuntos!G17)*11," - ")</f>
        <v>5.0722222222222229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3107</v>
      </c>
      <c r="D18" s="1048">
        <f>SUBTOTAL(9,D15:D17)</f>
        <v>3217</v>
      </c>
      <c r="E18" s="1049">
        <f>SUBTOTAL(9,E15:E17)</f>
        <v>3443</v>
      </c>
      <c r="F18" s="1049">
        <f>SUBTOTAL(9,F15:F17)</f>
        <v>3284</v>
      </c>
      <c r="G18" s="1051" t="str">
        <f ca="1">INDIRECT(CONCATENATE("G",ROW()-1))</f>
        <v>37</v>
      </c>
      <c r="H18" s="1052">
        <f ca="1">SUMIF(G$14:G17,G18,H$14:H17)</f>
        <v>249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3239</v>
      </c>
      <c r="D19" s="1070">
        <f>SUBTOTAL(9,D9:D18)</f>
        <v>3349</v>
      </c>
      <c r="E19" s="1071">
        <f>SUBTOTAL(9,E9:E18)</f>
        <v>3533</v>
      </c>
      <c r="F19" s="1071">
        <f>SUBTOTAL(9,F9:F18)</f>
        <v>3364</v>
      </c>
      <c r="G19" s="1072"/>
      <c r="H19" s="1073">
        <f ca="1">SUMIF(B9:B18,"TOTAL",H9:H18)</f>
        <v>249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XMWfLUDDNX+JraHcD2rb2KtASBpLC5VVdfniNFNaTm3lSGVkhs0/uuYPZaL9UiKcEoj1dlZ+T6t9xcdeYdRWw==" saltValue="0ai4/+fZ7h/T+oYUD6zm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C7zOOrYN9/oWpdNOvNujFxfYtVsF+bDc37o7evUpBZJ0eVP57tq9dYI3/JuUrwwtjVbcQs8uZXF0io1haNgUg==" saltValue="GQuGTbg/7jmU+pKyHb0/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13451</v>
      </c>
      <c r="J9" s="180">
        <v>3531</v>
      </c>
      <c r="K9" s="180">
        <v>4124</v>
      </c>
      <c r="L9" s="180">
        <v>12953</v>
      </c>
      <c r="M9" s="180">
        <v>1066</v>
      </c>
      <c r="N9" s="180">
        <v>2164</v>
      </c>
      <c r="O9" s="180">
        <v>1567</v>
      </c>
      <c r="P9" s="180">
        <v>997</v>
      </c>
      <c r="Q9" s="180">
        <v>935</v>
      </c>
      <c r="R9" s="180">
        <v>17503</v>
      </c>
      <c r="S9" s="180">
        <v>13236</v>
      </c>
      <c r="T9" s="180">
        <v>4639</v>
      </c>
      <c r="U9" s="180">
        <v>4048</v>
      </c>
      <c r="V9" s="180">
        <v>14107</v>
      </c>
      <c r="W9" s="180">
        <v>1155</v>
      </c>
      <c r="X9" s="187">
        <v>1605</v>
      </c>
      <c r="Y9" s="190">
        <v>130</v>
      </c>
      <c r="Z9" s="180">
        <v>160</v>
      </c>
      <c r="AA9" s="180">
        <v>109</v>
      </c>
      <c r="AB9" s="180">
        <v>182</v>
      </c>
      <c r="AC9" s="180">
        <v>0</v>
      </c>
      <c r="AD9" s="180">
        <v>0</v>
      </c>
      <c r="AE9" s="180">
        <v>0</v>
      </c>
      <c r="AF9" s="187">
        <v>0</v>
      </c>
      <c r="AG9" s="190">
        <v>127</v>
      </c>
      <c r="AH9" s="180">
        <v>76</v>
      </c>
      <c r="AI9" s="180">
        <v>62</v>
      </c>
      <c r="AJ9" s="191">
        <v>125</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13363</v>
      </c>
      <c r="AZ9" s="123">
        <f>IF(ISNUMBER(IF(J_V="SI",T9,T9+AH9)),IF(J_V="SI",T9,T9+AH9)," - ")</f>
        <v>4715</v>
      </c>
      <c r="BA9" s="124">
        <f>IF(ISNUMBER(IF(J_V="SI",U9,U9+AI9)),IF(J_V="SI",U9,U9+AI9)," - ")</f>
        <v>4110</v>
      </c>
      <c r="BB9" s="124">
        <f>IF(ISNUMBER(IF(J_V="SI",V9,V9+AJ9)),IF(J_V="SI",V9,V9+AJ9)," - ")</f>
        <v>14232</v>
      </c>
      <c r="BC9" s="125">
        <f>IF(ISNUMBER(X9),X9," - ")</f>
        <v>1605</v>
      </c>
      <c r="BD9" s="126">
        <f>IF(ISNUMBER(BA9/AZ9),BA9/AZ9," - ")</f>
        <v>0.87168610816542946</v>
      </c>
      <c r="BE9" s="127">
        <f>IF(ISNUMBER(BB9/BA9),BB9/BA9, " - ")</f>
        <v>3.4627737226277371</v>
      </c>
      <c r="BF9" s="127">
        <f>IF(ISNUMBER(BC9/BA9),BC9/BA9, " - ")</f>
        <v>0.39051094890510951</v>
      </c>
      <c r="BG9" s="195">
        <f>IF(ISNUMBER((AY9+AZ9)/BA9),(AY9+AZ9)/BA9," - ")</f>
        <v>4.3985401459854012</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132</v>
      </c>
      <c r="J10" s="180">
        <v>90</v>
      </c>
      <c r="K10" s="180">
        <v>80</v>
      </c>
      <c r="L10" s="180">
        <v>142</v>
      </c>
      <c r="M10" s="180">
        <v>36</v>
      </c>
      <c r="N10" s="180">
        <v>37</v>
      </c>
      <c r="O10" s="180">
        <v>6</v>
      </c>
      <c r="P10" s="180">
        <v>14</v>
      </c>
      <c r="Q10" s="180">
        <v>7</v>
      </c>
      <c r="R10" s="180">
        <v>162</v>
      </c>
      <c r="S10" s="180">
        <v>141</v>
      </c>
      <c r="T10" s="180">
        <v>131</v>
      </c>
      <c r="U10" s="180">
        <v>112</v>
      </c>
      <c r="V10" s="180">
        <v>160</v>
      </c>
      <c r="W10" s="180">
        <v>53</v>
      </c>
      <c r="X10" s="187">
        <v>42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141</v>
      </c>
      <c r="AZ10" s="129">
        <f t="shared" si="0"/>
        <v>131</v>
      </c>
      <c r="BA10" s="129">
        <f t="shared" si="0"/>
        <v>112</v>
      </c>
      <c r="BB10" s="129">
        <f t="shared" si="0"/>
        <v>160</v>
      </c>
      <c r="BC10" s="125">
        <f t="shared" si="0"/>
        <v>53</v>
      </c>
      <c r="BD10" s="126">
        <f>IF(ISNUMBER(BA10/AZ10),BA10/AZ10," - ")</f>
        <v>0.85496183206106868</v>
      </c>
      <c r="BE10" s="127">
        <f>IF(ISNUMBER(BB10/BA10),BB10/BA10, " - ")</f>
        <v>1.4285714285714286</v>
      </c>
      <c r="BF10" s="127">
        <f>IF(ISNUMBER(BC10/BA10),BC10/BA10, " - ")</f>
        <v>0.4732142857142857</v>
      </c>
      <c r="BG10" s="195">
        <f>IF(ISNUMBER((AY10+AZ10)/BA10),(AY10+AZ10)/BA10," - ")</f>
        <v>2.4285714285714284</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721</v>
      </c>
      <c r="J11" s="182">
        <v>401</v>
      </c>
      <c r="K11" s="182">
        <v>422</v>
      </c>
      <c r="L11" s="182">
        <v>698</v>
      </c>
      <c r="M11" s="182">
        <v>203</v>
      </c>
      <c r="N11" s="182">
        <v>288</v>
      </c>
      <c r="O11" s="180">
        <v>211</v>
      </c>
      <c r="P11" s="182">
        <v>43</v>
      </c>
      <c r="Q11" s="182">
        <v>67</v>
      </c>
      <c r="R11" s="182">
        <v>1280</v>
      </c>
      <c r="S11" s="182">
        <v>966</v>
      </c>
      <c r="T11" s="182">
        <v>492</v>
      </c>
      <c r="U11" s="182">
        <v>564</v>
      </c>
      <c r="V11" s="182">
        <v>823</v>
      </c>
      <c r="W11" s="182">
        <v>271</v>
      </c>
      <c r="X11" s="188">
        <v>414</v>
      </c>
      <c r="Y11" s="190">
        <v>199</v>
      </c>
      <c r="Z11" s="180">
        <v>223</v>
      </c>
      <c r="AA11" s="180">
        <v>201</v>
      </c>
      <c r="AB11" s="180">
        <v>222</v>
      </c>
      <c r="AC11" s="182">
        <v>0</v>
      </c>
      <c r="AD11" s="182">
        <v>0</v>
      </c>
      <c r="AE11" s="182">
        <v>0</v>
      </c>
      <c r="AF11" s="188">
        <v>0</v>
      </c>
      <c r="AG11" s="201">
        <v>176</v>
      </c>
      <c r="AH11" s="182">
        <v>259</v>
      </c>
      <c r="AI11" s="182">
        <v>252</v>
      </c>
      <c r="AJ11" s="202">
        <v>183</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1142</v>
      </c>
      <c r="AZ11" s="127">
        <f t="shared" si="1"/>
        <v>751</v>
      </c>
      <c r="BA11" s="127">
        <f t="shared" si="1"/>
        <v>816</v>
      </c>
      <c r="BB11" s="127">
        <f t="shared" si="1"/>
        <v>1006</v>
      </c>
      <c r="BC11" s="125">
        <f>IF(ISNUMBER(X11),X11," - ")</f>
        <v>414</v>
      </c>
      <c r="BD11" s="126">
        <f t="shared" ref="BD11:BD12" si="2">IF(ISNUMBER(BA11/AZ11),BA11/AZ11," - ")</f>
        <v>1.0865512649800266</v>
      </c>
      <c r="BE11" s="127">
        <f t="shared" ref="BE11:BE12" si="3">IF(ISNUMBER(BB11/BA11),BB11/BA11, " - ")</f>
        <v>1.232843137254902</v>
      </c>
      <c r="BF11" s="127">
        <f t="shared" ref="BF11:BF12" si="4">IF(ISNUMBER(BC11/BA11),BC11/BA11, " - ")</f>
        <v>0.50735294117647056</v>
      </c>
      <c r="BG11" s="195">
        <f t="shared" ref="BG11:BG12" si="5">IF(ISNUMBER((AY11+AZ11)/BA11),(AY11+AZ11)/BA11," - ")</f>
        <v>2.3198529411764706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14304</v>
      </c>
      <c r="J13" s="183">
        <f t="shared" si="6"/>
        <v>4022</v>
      </c>
      <c r="K13" s="183">
        <f t="shared" si="6"/>
        <v>4626</v>
      </c>
      <c r="L13" s="183">
        <f t="shared" si="6"/>
        <v>13793</v>
      </c>
      <c r="M13" s="183">
        <f t="shared" si="6"/>
        <v>1305</v>
      </c>
      <c r="N13" s="183">
        <f t="shared" si="6"/>
        <v>2489</v>
      </c>
      <c r="O13" s="183">
        <f t="shared" si="6"/>
        <v>1784</v>
      </c>
      <c r="P13" s="183">
        <f t="shared" si="6"/>
        <v>1054</v>
      </c>
      <c r="Q13" s="183">
        <f t="shared" si="6"/>
        <v>1009</v>
      </c>
      <c r="R13" s="183">
        <f t="shared" si="6"/>
        <v>18945</v>
      </c>
      <c r="S13" s="183">
        <f t="shared" si="6"/>
        <v>14343</v>
      </c>
      <c r="T13" s="183">
        <f t="shared" si="6"/>
        <v>5262</v>
      </c>
      <c r="U13" s="183">
        <f t="shared" si="6"/>
        <v>4724</v>
      </c>
      <c r="V13" s="183">
        <f t="shared" si="6"/>
        <v>15090</v>
      </c>
      <c r="W13" s="183">
        <f t="shared" si="6"/>
        <v>1479</v>
      </c>
      <c r="X13" s="183">
        <f t="shared" si="6"/>
        <v>2061</v>
      </c>
      <c r="Y13" s="183">
        <f t="shared" si="6"/>
        <v>329</v>
      </c>
      <c r="Z13" s="183">
        <f t="shared" si="6"/>
        <v>383</v>
      </c>
      <c r="AA13" s="183">
        <f t="shared" si="6"/>
        <v>310</v>
      </c>
      <c r="AB13" s="183">
        <f t="shared" si="6"/>
        <v>404</v>
      </c>
      <c r="AC13" s="183">
        <f t="shared" si="6"/>
        <v>0</v>
      </c>
      <c r="AD13" s="183">
        <f t="shared" si="6"/>
        <v>0</v>
      </c>
      <c r="AE13" s="183">
        <f t="shared" si="6"/>
        <v>0</v>
      </c>
      <c r="AF13" s="183">
        <f>SUBTOTAL(9,AF9:AF12)</f>
        <v>0</v>
      </c>
      <c r="AG13" s="183">
        <f t="shared" ref="AG13:AT13" si="7">SUBTOTAL(9,AG8:AG12)</f>
        <v>303</v>
      </c>
      <c r="AH13" s="183">
        <f t="shared" si="7"/>
        <v>335</v>
      </c>
      <c r="AI13" s="183">
        <f t="shared" si="7"/>
        <v>314</v>
      </c>
      <c r="AJ13" s="183">
        <f t="shared" si="7"/>
        <v>308</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14646</v>
      </c>
      <c r="AZ13" s="183">
        <f>SUBTOTAL(9,AZ8:AZ12)</f>
        <v>5597</v>
      </c>
      <c r="BA13" s="183">
        <f>SUBTOTAL(9,BA8:BA12)</f>
        <v>5038</v>
      </c>
      <c r="BB13" s="183">
        <f>SUBTOTAL(9,BB8:BB12)</f>
        <v>15398</v>
      </c>
      <c r="BC13" s="183">
        <f>SUBTOTAL(9,BC8:BC12)</f>
        <v>2072</v>
      </c>
      <c r="BD13" s="204">
        <f>IF(ISNUMBER(BA13/AZ13),BA13/AZ13," - ")</f>
        <v>0.90012506700017869</v>
      </c>
      <c r="BE13" s="205">
        <f>IF(ISNUMBER(BB13/BA13),BB13/BA13, " - ")</f>
        <v>3.0563715760222312</v>
      </c>
      <c r="BF13" s="205">
        <f>IF(ISNUMBER(BC13/BA13),BC13/BA13, " - ")</f>
        <v>0.41127431520444618</v>
      </c>
      <c r="BG13" s="206">
        <f>IF(ISNUMBER((AY13+AZ13)/BA13),(AY13+AZ13)/BA13," - ")</f>
        <v>4.018062723302898</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2966</v>
      </c>
      <c r="J15" s="182">
        <v>2905</v>
      </c>
      <c r="K15" s="182">
        <v>2744</v>
      </c>
      <c r="L15" s="182">
        <v>3017</v>
      </c>
      <c r="M15" s="182">
        <v>584</v>
      </c>
      <c r="N15" s="182">
        <v>1357</v>
      </c>
      <c r="O15" s="180">
        <v>54</v>
      </c>
      <c r="P15" s="182">
        <v>146</v>
      </c>
      <c r="Q15" s="182">
        <v>122</v>
      </c>
      <c r="R15" s="182">
        <v>566</v>
      </c>
      <c r="S15" s="182">
        <v>2763</v>
      </c>
      <c r="T15" s="182">
        <v>2491</v>
      </c>
      <c r="U15" s="182">
        <v>2338</v>
      </c>
      <c r="V15" s="182">
        <v>2980</v>
      </c>
      <c r="W15" s="182">
        <v>577</v>
      </c>
      <c r="X15" s="188">
        <v>1014</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2763</v>
      </c>
      <c r="AZ15" s="129">
        <f t="shared" si="9"/>
        <v>2491</v>
      </c>
      <c r="BA15" s="129">
        <f t="shared" si="9"/>
        <v>2338</v>
      </c>
      <c r="BB15" s="129">
        <f t="shared" si="9"/>
        <v>2980</v>
      </c>
      <c r="BC15" s="125">
        <f>IF(ISNUMBER(W15),W15," - ")</f>
        <v>577</v>
      </c>
      <c r="BD15" s="126">
        <f>IF(ISNUMBER(BA15/AZ15),BA15/AZ15," - ")</f>
        <v>0.93857888398233646</v>
      </c>
      <c r="BE15" s="127">
        <f>IF(ISNUMBER(BB15/BA15),BB15/BA15, " - ")</f>
        <v>1.2745936698032507</v>
      </c>
      <c r="BF15" s="127">
        <f>IF(ISNUMBER(BC15/BA15),BC15/BA15, " - ")</f>
        <v>0.24679213002566297</v>
      </c>
      <c r="BG15" s="195">
        <f t="shared" ref="BG15:BG16" si="10">IF(ISNUMBER((AY15+AZ15)/BA15),(AY15+AZ15)/BA15," - ")</f>
        <v>2.2472198460222415</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251</v>
      </c>
      <c r="J17" s="182">
        <v>538</v>
      </c>
      <c r="K17" s="182">
        <v>540</v>
      </c>
      <c r="L17" s="182">
        <v>249</v>
      </c>
      <c r="M17" s="182">
        <v>92</v>
      </c>
      <c r="N17" s="182">
        <v>299</v>
      </c>
      <c r="O17" s="182">
        <v>5</v>
      </c>
      <c r="P17" s="182">
        <v>20</v>
      </c>
      <c r="Q17" s="182">
        <v>15</v>
      </c>
      <c r="R17" s="182">
        <v>41</v>
      </c>
      <c r="S17" s="182">
        <v>179</v>
      </c>
      <c r="T17" s="182">
        <v>554</v>
      </c>
      <c r="U17" s="182">
        <v>517</v>
      </c>
      <c r="V17" s="182">
        <v>216</v>
      </c>
      <c r="W17" s="182">
        <v>110</v>
      </c>
      <c r="X17" s="188">
        <v>321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179</v>
      </c>
      <c r="AZ17" s="129">
        <f t="shared" si="14"/>
        <v>554</v>
      </c>
      <c r="BA17" s="129">
        <f t="shared" si="14"/>
        <v>517</v>
      </c>
      <c r="BB17" s="129">
        <f t="shared" si="14"/>
        <v>216</v>
      </c>
      <c r="BC17" s="125">
        <f>IF(ISNUMBER(W17),W17," - ")</f>
        <v>110</v>
      </c>
      <c r="BD17" s="126">
        <f>IF(ISNUMBER(BA17/AZ17),BA17/AZ17," - ")</f>
        <v>0.93321299638989175</v>
      </c>
      <c r="BE17" s="127">
        <f>IF(ISNUMBER(BB17/BA17),BB17/BA17, " - ")</f>
        <v>0.41779497098646035</v>
      </c>
      <c r="BF17" s="127">
        <f>IF(ISNUMBER(BC17/BA17),BC17/BA17, " - ")</f>
        <v>0.21276595744680851</v>
      </c>
      <c r="BG17" s="195">
        <f>IF(ISNUMBER((AY17+AZ17)/BA17),(AY17+AZ17)/BA17," - ")</f>
        <v>1.4177949709864603</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3217</v>
      </c>
      <c r="J18" s="183">
        <f t="shared" si="15"/>
        <v>3443</v>
      </c>
      <c r="K18" s="183">
        <f t="shared" si="15"/>
        <v>3284</v>
      </c>
      <c r="L18" s="183">
        <f t="shared" si="15"/>
        <v>3266</v>
      </c>
      <c r="M18" s="183">
        <f t="shared" si="15"/>
        <v>676</v>
      </c>
      <c r="N18" s="183">
        <f t="shared" si="15"/>
        <v>1656</v>
      </c>
      <c r="O18" s="183">
        <f t="shared" si="15"/>
        <v>59</v>
      </c>
      <c r="P18" s="183">
        <f t="shared" si="15"/>
        <v>166</v>
      </c>
      <c r="Q18" s="183">
        <f t="shared" si="15"/>
        <v>137</v>
      </c>
      <c r="R18" s="183">
        <f t="shared" si="15"/>
        <v>607</v>
      </c>
      <c r="S18" s="183">
        <f t="shared" si="15"/>
        <v>2942</v>
      </c>
      <c r="T18" s="183">
        <f t="shared" si="15"/>
        <v>3045</v>
      </c>
      <c r="U18" s="183">
        <f t="shared" si="15"/>
        <v>2855</v>
      </c>
      <c r="V18" s="183">
        <f t="shared" si="15"/>
        <v>3196</v>
      </c>
      <c r="W18" s="183">
        <f t="shared" si="15"/>
        <v>687</v>
      </c>
      <c r="X18" s="183">
        <f t="shared" si="15"/>
        <v>1335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2942</v>
      </c>
      <c r="AZ18" s="183">
        <f>SUBTOTAL(9,AZ14:AZ17)</f>
        <v>3045</v>
      </c>
      <c r="BA18" s="183">
        <f>SUBTOTAL(9,BA14:BA17)</f>
        <v>2855</v>
      </c>
      <c r="BB18" s="183">
        <f>SUBTOTAL(9,BB14:BB17)</f>
        <v>3196</v>
      </c>
      <c r="BC18" s="183">
        <f>SUBTOTAL(9,BC14:BC17)</f>
        <v>687</v>
      </c>
      <c r="BD18" s="204">
        <f>IF(ISNUMBER(BA18/AZ18),BA18/AZ18," - ")</f>
        <v>0.93760262725779964</v>
      </c>
      <c r="BE18" s="205">
        <f>IF(ISNUMBER(BB18/BA18),BB18/BA18, " - ")</f>
        <v>1.1194395796847636</v>
      </c>
      <c r="BF18" s="205">
        <f>IF(ISNUMBER(BC18/BA18),BC18/BA18, " - ")</f>
        <v>0.24063047285464098</v>
      </c>
      <c r="BG18" s="206">
        <f>IF(ISNUMBER((AY18+AZ18)/BA18),(AY18+AZ18)/BA18," - ")</f>
        <v>2.0970227670753063</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17521</v>
      </c>
      <c r="J19" s="134">
        <f t="shared" si="18"/>
        <v>7465</v>
      </c>
      <c r="K19" s="134">
        <f t="shared" si="18"/>
        <v>7910</v>
      </c>
      <c r="L19" s="134">
        <f t="shared" si="18"/>
        <v>17059</v>
      </c>
      <c r="M19" s="134">
        <f t="shared" si="18"/>
        <v>1981</v>
      </c>
      <c r="N19" s="134">
        <f t="shared" si="18"/>
        <v>4145</v>
      </c>
      <c r="O19" s="134">
        <f t="shared" si="18"/>
        <v>1843</v>
      </c>
      <c r="P19" s="134">
        <f t="shared" si="18"/>
        <v>1220</v>
      </c>
      <c r="Q19" s="134">
        <f t="shared" si="18"/>
        <v>1146</v>
      </c>
      <c r="R19" s="134">
        <f t="shared" si="18"/>
        <v>19552</v>
      </c>
      <c r="S19" s="134">
        <f t="shared" si="18"/>
        <v>17285</v>
      </c>
      <c r="T19" s="134">
        <f t="shared" si="18"/>
        <v>8307</v>
      </c>
      <c r="U19" s="134">
        <f t="shared" si="18"/>
        <v>7579</v>
      </c>
      <c r="V19" s="134">
        <f t="shared" si="18"/>
        <v>18286</v>
      </c>
      <c r="W19" s="134">
        <f t="shared" si="18"/>
        <v>2166</v>
      </c>
      <c r="X19" s="134">
        <f t="shared" si="18"/>
        <v>3396</v>
      </c>
      <c r="Y19" s="134">
        <f t="shared" si="18"/>
        <v>329</v>
      </c>
      <c r="Z19" s="134">
        <f t="shared" si="18"/>
        <v>383</v>
      </c>
      <c r="AA19" s="134">
        <f t="shared" si="18"/>
        <v>310</v>
      </c>
      <c r="AB19" s="134">
        <f t="shared" si="18"/>
        <v>404</v>
      </c>
      <c r="AC19" s="134">
        <f t="shared" si="18"/>
        <v>0</v>
      </c>
      <c r="AD19" s="134">
        <f t="shared" si="18"/>
        <v>0</v>
      </c>
      <c r="AE19" s="134">
        <f t="shared" si="18"/>
        <v>0</v>
      </c>
      <c r="AF19" s="134">
        <f t="shared" si="18"/>
        <v>0</v>
      </c>
      <c r="AG19" s="134">
        <f t="shared" si="18"/>
        <v>303</v>
      </c>
      <c r="AH19" s="134">
        <f t="shared" si="18"/>
        <v>335</v>
      </c>
      <c r="AI19" s="134">
        <f t="shared" si="18"/>
        <v>314</v>
      </c>
      <c r="AJ19" s="134">
        <f t="shared" si="18"/>
        <v>308</v>
      </c>
      <c r="AK19" s="134">
        <f t="shared" si="18"/>
        <v>0</v>
      </c>
      <c r="AL19" s="134">
        <f t="shared" si="18"/>
        <v>0</v>
      </c>
      <c r="AM19" s="134">
        <f t="shared" si="18"/>
        <v>0</v>
      </c>
      <c r="AN19" s="209">
        <f t="shared" si="18"/>
        <v>0</v>
      </c>
      <c r="AO19" s="210">
        <v>15</v>
      </c>
      <c r="AP19" s="210">
        <v>15</v>
      </c>
      <c r="AQ19" s="210">
        <v>15</v>
      </c>
      <c r="AR19" s="210">
        <v>15</v>
      </c>
      <c r="AS19" s="152">
        <f t="shared" si="18"/>
        <v>0</v>
      </c>
      <c r="AT19" s="152">
        <f t="shared" si="18"/>
        <v>0</v>
      </c>
      <c r="AU19" s="210"/>
      <c r="AV19" s="211"/>
      <c r="AW19" s="210"/>
      <c r="AX19" s="211"/>
      <c r="AY19" s="133">
        <f>SUBTOTAL(9,AY9:AY18)</f>
        <v>17588</v>
      </c>
      <c r="AZ19" s="134">
        <f>SUBTOTAL(9,AZ9:AZ18)</f>
        <v>8642</v>
      </c>
      <c r="BA19" s="134">
        <f>SUBTOTAL(9,BA9:BA18)</f>
        <v>7893</v>
      </c>
      <c r="BB19" s="134">
        <f>SUBTOTAL(9,BB9:BB18)</f>
        <v>18594</v>
      </c>
      <c r="BC19" s="135">
        <f>SUBTOTAL(9,BC9:BC18)</f>
        <v>2759</v>
      </c>
      <c r="BD19" s="212">
        <f>IF(ISNUMBER(BA19/AZ19),BA19/AZ19," - ")</f>
        <v>0.91333024762786397</v>
      </c>
      <c r="BE19" s="209">
        <f>IF(ISNUMBER(BB19/BA19),BB19/BA19, " - ")</f>
        <v>2.3557582668187003</v>
      </c>
      <c r="BF19" s="209">
        <f>IF(ISNUMBER(BC19/BA19),BC19/BA19, " - ")</f>
        <v>0.34955023438489802</v>
      </c>
      <c r="BG19" s="135">
        <f>IF(ISNUMBER((AY19+AZ19)/BA19),(AY19+AZ19)/BA19," - ")</f>
        <v>3.3231977701761055</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Z0DxTsjWSHxIRgFvEgb5d4Q3N/7gl2duRmxSNUiiaE93gynVmsc7Rjzl//ohIH/lz2lPwm/yfugnnAh/pFqQ==" saltValue="5kZrrBaO9wWyD+ugU/An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oRVoqtCQ+xaXPfzh7OpxfffLmiabOexs2hIpAA1p/OAWBVu6Sq5uh2UAgrHxb/Z6omv+OXwd/5IzRH3mZkTcQ==" saltValue="ZM8PHRNI1OXKoByix7Ij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ELX-ELCHE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160</v>
      </c>
      <c r="O9" s="333"/>
      <c r="P9" s="333"/>
      <c r="Q9" s="225">
        <f>IF(ISNUMBER(Datos!P9),Datos!P9,0)</f>
        <v>997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935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182</v>
      </c>
      <c r="AI9" s="333" t="str">
        <f>IF(ISNUMBER(Datos!CD9),Datos!CD9,"-")</f>
        <v>-</v>
      </c>
      <c r="AJ9" s="333" t="str">
        <f>IF(ISNUMBER(Datos!EN9),Datos!EN9," - ")</f>
        <v xml:space="preserve"> - </v>
      </c>
      <c r="AK9" s="333"/>
      <c r="AL9" s="478"/>
      <c r="AM9" s="334">
        <f>IF(ISNUMBER(Datos!R9),Datos!R9," - ")</f>
        <v>17503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1066</v>
      </c>
      <c r="BD9" s="228">
        <f>IF(ISNUMBER(Datos!N9),Datos!N9," - ")</f>
        <v>2164</v>
      </c>
      <c r="BE9" s="228" t="str">
        <f>IF(ISNUMBER(Datos!BW9),Datos!BW9," - ")</f>
        <v xml:space="preserve"> - </v>
      </c>
      <c r="BF9" s="227" t="str">
        <f>IF(ISNUMBER(Datos!BX9),Datos!BX9," - ")</f>
        <v xml:space="preserve"> - </v>
      </c>
      <c r="BG9" s="242">
        <f>IF(ISNUMBER(IF(J_V="SI",Datos!K9/Datos!J9,(Datos!K9+Datos!AA9)/(Datos!J9+Datos!Z9))),IF(J_V="SI",Datos!K9/Datos!J9,(Datos!K9+Datos!AA9)/(Datos!J9+Datos!Z9))," - ")</f>
        <v>1.1468436738011378</v>
      </c>
      <c r="BH9" s="259">
        <f>IF(ISNUMBER(((IF(J_V="SI",Datos!L9/Datos!K9,(Datos!L9+Datos!AB9)/(Datos!K9+Datos!AA9)))*11)/factor_trimestre),((IF(J_V="SI",Datos!L9/Datos!K9,(Datos!L9+Datos!AB9)/(Datos!K9+Datos!AA9)))*11)/factor_trimestre," - ")</f>
        <v>9.3090007087172228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3.5548420388739179E-3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132</v>
      </c>
      <c r="G10" s="332">
        <f>IF(ISNUMBER(Datos!I10),Datos!I10," - ")</f>
        <v>132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80</v>
      </c>
      <c r="AC10" s="225">
        <f>IF(ISNUMBER(Datos!Q10),Datos!Q10," - ")</f>
        <v>7</v>
      </c>
      <c r="AD10" s="333"/>
      <c r="AE10" s="483"/>
      <c r="AF10" s="331">
        <f>IF(ISNUMBER(Datos!L10),Datos!L10,"-")</f>
        <v>142</v>
      </c>
      <c r="AG10" s="333"/>
      <c r="AH10" s="333"/>
      <c r="AI10" s="333"/>
      <c r="AJ10" s="333"/>
      <c r="AK10" s="333"/>
      <c r="AL10" s="478"/>
      <c r="AM10" s="334">
        <f>IF(ISNUMBER(Datos!R10),Datos!R10," - ")</f>
        <v>162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36</v>
      </c>
      <c r="BD10" s="228">
        <f>IF(ISNUMBER(Datos!N10),Datos!N10," - ")</f>
        <v>37</v>
      </c>
      <c r="BE10" s="228" t="str">
        <f>IF(ISNUMBER(Datos!BW10),Datos!BW10," - ")</f>
        <v xml:space="preserve"> - </v>
      </c>
      <c r="BF10" s="227" t="str">
        <f>IF(ISNUMBER(Datos!BX10),Datos!BX10," - ")</f>
        <v xml:space="preserve"> - </v>
      </c>
      <c r="BG10" s="242">
        <f>IF(ISNUMBER(Datos!K10/Datos!J10),Datos!K10/Datos!J10," - ")</f>
        <v>0.88888888888888884</v>
      </c>
      <c r="BH10" s="259">
        <f>IF(ISNUMBER(((Datos!L10/Datos!K10)*11)/factor_trimestre),((Datos!L10/Datos!K10)*11)/factor_trimestre," - ")</f>
        <v>5.3250000000000002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4.5161290322580643E-2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223</v>
      </c>
      <c r="O11" s="333"/>
      <c r="P11" s="333"/>
      <c r="Q11" s="225">
        <f>IF(ISNUMBER(Datos!P11),Datos!P11,0)</f>
        <v>43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67</v>
      </c>
      <c r="AD11" s="333"/>
      <c r="AE11" s="483"/>
      <c r="AF11" s="331" t="str">
        <f>IF(ISNUMBER(IF(J_V="SI",Datos!L11,Datos!L11+Datos!AB11)-IF(Monitorios="SI",Datos!CD11,0)),
                          IF(J_V="SI",Datos!L11,Datos!L11+Datos!AB11)-IF(Monitorios="SI",Datos!CD11,0),
                          " - ")</f>
        <v xml:space="preserve"> - </v>
      </c>
      <c r="AG11" s="333"/>
      <c r="AH11" s="333">
        <f>IF(ISNUMBER(Datos!AB11),Datos!AB11,"-")</f>
        <v>222</v>
      </c>
      <c r="AI11" s="333"/>
      <c r="AJ11" s="333"/>
      <c r="AK11" s="333"/>
      <c r="AL11" s="478"/>
      <c r="AM11" s="334">
        <f>IF(ISNUMBER(Datos!R11),Datos!R11," - ")</f>
        <v>1280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203</v>
      </c>
      <c r="BD11" s="228">
        <f>IF(ISNUMBER(Datos!N11),Datos!N11," - ")</f>
        <v>288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0.9983974358974359</v>
      </c>
      <c r="BH11" s="259">
        <f>IF(ISNUMBER(((IF(J_V="SI",Datos!L11/Datos!K11,(Datos!L11+Datos!AB11)/(Datos!K11+Datos!AA11)))*11)/factor_trimestre),((IF(J_V="SI",Datos!L11/Datos!K11,(Datos!L11+Datos!AB11)/(Datos!K11+Datos!AA11)))*11)/factor_trimestre," - ")</f>
        <v>4.4301765650080247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-1.8404907975460124E-2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132</v>
      </c>
      <c r="G13" s="897">
        <f t="shared" si="0"/>
        <v>132</v>
      </c>
      <c r="H13" s="898">
        <f t="shared" si="0"/>
        <v>0</v>
      </c>
      <c r="I13" s="897">
        <f t="shared" si="0"/>
        <v>0</v>
      </c>
      <c r="J13" s="866">
        <f t="shared" si="0"/>
        <v>0</v>
      </c>
      <c r="K13" s="866">
        <f t="shared" si="0"/>
        <v>0</v>
      </c>
      <c r="L13" s="898">
        <f t="shared" si="0"/>
        <v>0</v>
      </c>
      <c r="M13" s="898">
        <f t="shared" si="0"/>
        <v>0</v>
      </c>
      <c r="N13" s="898">
        <f t="shared" si="0"/>
        <v>383</v>
      </c>
      <c r="O13" s="899">
        <f t="shared" si="0"/>
        <v>0</v>
      </c>
      <c r="P13" s="899">
        <f t="shared" si="0"/>
        <v>0</v>
      </c>
      <c r="Q13" s="898">
        <f t="shared" si="0"/>
        <v>1054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80</v>
      </c>
      <c r="AC13" s="898">
        <f t="shared" si="1"/>
        <v>1009</v>
      </c>
      <c r="AD13" s="898">
        <f t="shared" si="1"/>
        <v>0</v>
      </c>
      <c r="AE13" s="898">
        <f t="shared" si="1"/>
        <v>0</v>
      </c>
      <c r="AF13" s="898">
        <f t="shared" si="1"/>
        <v>142</v>
      </c>
      <c r="AG13" s="898">
        <f t="shared" si="1"/>
        <v>0</v>
      </c>
      <c r="AH13" s="898">
        <f t="shared" si="1"/>
        <v>404</v>
      </c>
      <c r="AI13" s="898">
        <f t="shared" si="1"/>
        <v>0</v>
      </c>
      <c r="AJ13" s="898">
        <f t="shared" si="1"/>
        <v>0</v>
      </c>
      <c r="AK13" s="898">
        <f t="shared" si="1"/>
        <v>0</v>
      </c>
      <c r="AL13" s="898">
        <f t="shared" si="1"/>
        <v>0</v>
      </c>
      <c r="AM13" s="898">
        <f t="shared" si="1"/>
        <v>18945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1305</v>
      </c>
      <c r="BD13" s="898">
        <f t="shared" si="1"/>
        <v>2489</v>
      </c>
      <c r="BE13" s="898">
        <f t="shared" si="1"/>
        <v>0</v>
      </c>
      <c r="BF13" s="898">
        <f t="shared" si="1"/>
        <v>0</v>
      </c>
      <c r="BG13" s="898">
        <f>IF(ISNUMBER(Datos!K13/Datos!J13),Datos!K13/Datos!J13," - ")</f>
        <v>1.1501740427647937</v>
      </c>
      <c r="BH13" s="902">
        <f>IF(ISNUMBER(((Datos!L13/Datos!K13)*11)/factor_trimestre),((Datos!L13/Datos!K13)*11)/factor_trimestre," - ")</f>
        <v>8.9448767833981844</v>
      </c>
      <c r="BI13" s="898">
        <f>IF(ISNUMBER('Resol  Asuntos'!D13/NºAsuntos!G13),'Resol  Asuntos'!D13/NºAsuntos!G13," - ")</f>
        <v>0.26438411669367912</v>
      </c>
      <c r="BJ13" s="898" t="str">
        <f>IF(ISNUMBER(Datos!CI13/Datos!CJ13),Datos!CI13/Datos!CJ13," - ")</f>
        <v xml:space="preserve"> - </v>
      </c>
      <c r="BK13" s="898">
        <f>SUBTOTAL(9,BK8:BK12)</f>
        <v>0</v>
      </c>
      <c r="BL13" s="898">
        <f>IF(ISNUMBER((I13-AB13+L13)/(F13)),(I13-AB13+L13)/(F13)," - ")</f>
        <v>-0.60606060606060608</v>
      </c>
      <c r="BM13" s="903">
        <f>SUBTOTAL(9,BM9:BM12)</f>
        <v>3.0311224385994439E-2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2856</v>
      </c>
      <c r="G15" s="597">
        <f>IF(ISNUMBER(IF(D_I="SI",Datos!I15,Datos!I15+Datos!AC15)),IF(D_I="SI",Datos!I15,Datos!I15+Datos!AC15)," - ")</f>
        <v>2966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146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2744</v>
      </c>
      <c r="AC15" s="225">
        <f>IF(ISNUMBER(Datos!Q15),Datos!Q15," - ")</f>
        <v>122</v>
      </c>
      <c r="AD15" s="333"/>
      <c r="AE15" s="483"/>
      <c r="AF15" s="595">
        <f>IF(ISNUMBER(IF(D_I="SI",Datos!L15,Datos!L15+Datos!AF15)),IF(D_I="SI",Datos!L15,Datos!L15+Datos!AF15)," - ")</f>
        <v>3017</v>
      </c>
      <c r="AG15" s="333"/>
      <c r="AH15" s="333"/>
      <c r="AI15" s="333"/>
      <c r="AJ15" s="333"/>
      <c r="AK15" s="333"/>
      <c r="AL15" s="478"/>
      <c r="AM15" s="334">
        <f>IF(ISNUMBER(Datos!R15),Datos!R15," - ")</f>
        <v>566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584</v>
      </c>
      <c r="BD15" s="228">
        <f>IF(ISNUMBER(Datos!N15),Datos!N15," - ")</f>
        <v>1357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0.944578313253012</v>
      </c>
      <c r="BH15" s="259">
        <f>IF(ISNUMBER(((IF(D_I="SI",Datos!L15/Datos!K15,(Datos!L15+Datos!AF15)/(Datos!K15+Datos!AE15)))*11)/factor_trimestre),((IF(D_I="SI",Datos!L15/Datos!K15,(Datos!L15+Datos!AF15)/(Datos!K15+Datos!AE15)))*11)/factor_trimestre," - ")</f>
        <v>3.2984693877551021</v>
      </c>
      <c r="BI15" s="242">
        <f>IF(ISNUMBER('Resol  Asuntos'!D15/NºAsuntos!G15),'Resol  Asuntos'!D15/NºAsuntos!G15," - ")</f>
        <v>0.21282798833819241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251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540</v>
      </c>
      <c r="AC17" s="225">
        <f>IF(ISNUMBER(Datos!Q17),Datos!Q17," - ")</f>
        <v>15</v>
      </c>
      <c r="AD17" s="333"/>
      <c r="AE17" s="483"/>
      <c r="AF17" s="331">
        <f>IF(ISNUMBER(Datos!L17),Datos!L17,"-")</f>
        <v>249</v>
      </c>
      <c r="AG17" s="333"/>
      <c r="AH17" s="333"/>
      <c r="AI17" s="333"/>
      <c r="AJ17" s="333"/>
      <c r="AK17" s="333"/>
      <c r="AL17" s="478"/>
      <c r="AM17" s="334">
        <f>IF(ISNUMBER(Datos!R17),Datos!R17," - ")</f>
        <v>41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92</v>
      </c>
      <c r="BD17" s="228">
        <f>IF(ISNUMBER(Datos!N17),Datos!N17," - ")</f>
        <v>299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1.003717472118959</v>
      </c>
      <c r="BH17" s="259">
        <f>IF(ISNUMBER(((IF(D_I="SI",Datos!L17/Datos!K17,(Datos!L17+Datos!AF17)/(Datos!K17+Datos!AE17)))*11)/factor_trimestre),((IF(D_I="SI",Datos!L17/Datos!K17,(Datos!L17+Datos!AF17)/(Datos!K17+Datos!AE17)))*11)/factor_trimestre," - ")</f>
        <v>1.3833333333333335</v>
      </c>
      <c r="BI17" s="242">
        <f>IF(ISNUMBER('Resol  Asuntos'!D17/NºAsuntos!G17),'Resol  Asuntos'!D17/NºAsuntos!G17," - ")</f>
        <v>0.17037037037037037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2856</v>
      </c>
      <c r="G18" s="897">
        <f>SUBTOTAL(9,G15:G17)</f>
        <v>3217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3284</v>
      </c>
      <c r="AC18" s="898">
        <f t="shared" si="4"/>
        <v>137</v>
      </c>
      <c r="AD18" s="898">
        <f t="shared" si="4"/>
        <v>0</v>
      </c>
      <c r="AE18" s="898">
        <f t="shared" si="4"/>
        <v>0</v>
      </c>
      <c r="AF18" s="898">
        <f t="shared" si="4"/>
        <v>3266</v>
      </c>
      <c r="AG18" s="898">
        <f t="shared" si="4"/>
        <v>0</v>
      </c>
      <c r="AH18" s="898">
        <f t="shared" si="4"/>
        <v>0</v>
      </c>
      <c r="AI18" s="898">
        <f t="shared" si="4"/>
        <v>0</v>
      </c>
      <c r="AJ18" s="898">
        <f t="shared" si="4"/>
        <v>0</v>
      </c>
      <c r="AK18" s="898">
        <f t="shared" si="4"/>
        <v>0</v>
      </c>
      <c r="AL18" s="898">
        <f t="shared" si="4"/>
        <v>0</v>
      </c>
      <c r="AM18" s="898">
        <f t="shared" si="4"/>
        <v>607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676</v>
      </c>
      <c r="BD18" s="898">
        <f t="shared" si="4"/>
        <v>1656</v>
      </c>
      <c r="BE18" s="898">
        <f t="shared" si="4"/>
        <v>0</v>
      </c>
      <c r="BF18" s="898">
        <f t="shared" si="4"/>
        <v>0</v>
      </c>
      <c r="BG18" s="898">
        <f>IF(ISNUMBER(Datos!K18/Datos!J18),Datos!K18/Datos!J18," - ")</f>
        <v>0.95381934359570142</v>
      </c>
      <c r="BH18" s="902">
        <f>IF(ISNUMBER(((Datos!L18/Datos!K18)*11)/factor_trimestre),((Datos!L18/Datos!K18)*11)/factor_trimestre," - ")</f>
        <v>2.9835566382460414</v>
      </c>
      <c r="BI18" s="898">
        <f>SUBTOTAL(9,BI15:BI17)</f>
        <v>0.38319835870856278</v>
      </c>
      <c r="BJ18" s="898">
        <f>SUBTOTAL(9,BJ15:BJ17)</f>
        <v>0</v>
      </c>
      <c r="BK18" s="898">
        <f>SUBTOTAL(9,BK15:BK17)</f>
        <v>0</v>
      </c>
      <c r="BL18" s="898">
        <f>IF(ISNUMBER((I18-AB18+L18)/(F18)),(I18-AB18+L18)/(F18)," - ")</f>
        <v>-1.1498599439775909</v>
      </c>
      <c r="BM18" s="904">
        <f>IF(ISNUMBER((Datos!P18-Datos!Q18)/(Datos!R18-Datos!P18+Datos!Q18)),(Datos!P18-Datos!Q18)/(Datos!R18-Datos!P18+Datos!Q18)," - ")</f>
        <v>5.0173010380622836E-2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17</v>
      </c>
      <c r="F19" s="819">
        <f t="shared" si="6"/>
        <v>2988</v>
      </c>
      <c r="G19" s="819">
        <f t="shared" si="6"/>
        <v>3349</v>
      </c>
      <c r="H19" s="821">
        <f t="shared" si="6"/>
        <v>0</v>
      </c>
      <c r="I19" s="819">
        <f t="shared" si="6"/>
        <v>0</v>
      </c>
      <c r="J19" s="821">
        <f t="shared" si="6"/>
        <v>0</v>
      </c>
      <c r="K19" s="821">
        <f t="shared" si="6"/>
        <v>0</v>
      </c>
      <c r="L19" s="880">
        <f t="shared" si="6"/>
        <v>0</v>
      </c>
      <c r="M19" s="880">
        <f t="shared" si="6"/>
        <v>0</v>
      </c>
      <c r="N19" s="880">
        <f t="shared" si="6"/>
        <v>383</v>
      </c>
      <c r="O19" s="880">
        <f t="shared" si="6"/>
        <v>0</v>
      </c>
      <c r="P19" s="880">
        <f t="shared" si="6"/>
        <v>0</v>
      </c>
      <c r="Q19" s="821">
        <f t="shared" si="6"/>
        <v>1220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3364</v>
      </c>
      <c r="AC19" s="820">
        <f t="shared" si="7"/>
        <v>1146</v>
      </c>
      <c r="AD19" s="820">
        <f t="shared" si="7"/>
        <v>0</v>
      </c>
      <c r="AE19" s="820">
        <f t="shared" si="7"/>
        <v>0</v>
      </c>
      <c r="AF19" s="827">
        <f t="shared" si="7"/>
        <v>3408</v>
      </c>
      <c r="AG19" s="827">
        <f t="shared" si="7"/>
        <v>0</v>
      </c>
      <c r="AH19" s="827">
        <f t="shared" si="7"/>
        <v>404</v>
      </c>
      <c r="AI19" s="827">
        <f t="shared" si="7"/>
        <v>0</v>
      </c>
      <c r="AJ19" s="820">
        <f t="shared" si="7"/>
        <v>0</v>
      </c>
      <c r="AK19" s="827">
        <f t="shared" si="7"/>
        <v>0</v>
      </c>
      <c r="AL19" s="827">
        <f t="shared" si="7"/>
        <v>0</v>
      </c>
      <c r="AM19" s="827">
        <f t="shared" si="7"/>
        <v>19552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1981</v>
      </c>
      <c r="BD19" s="819">
        <f t="shared" si="7"/>
        <v>4145</v>
      </c>
      <c r="BE19" s="819">
        <f t="shared" si="7"/>
        <v>0</v>
      </c>
      <c r="BF19" s="829">
        <f t="shared" si="7"/>
        <v>0</v>
      </c>
      <c r="BG19" s="914">
        <f>IF(ISNUMBER(Datos!K19/Datos!J19),Datos!K19/Datos!J19," - ")</f>
        <v>1.0596115204286671</v>
      </c>
      <c r="BH19" s="914">
        <f>IF(ISNUMBER(((Datos!L19/Datos!K19)*11)/factor_trimestre),((Datos!L19/Datos!K19)*11)/factor_trimestre," - ")</f>
        <v>6.469911504424779</v>
      </c>
      <c r="BI19" s="812">
        <f>IF(ISNUMBER(Datos!J19/Datos!I19),Datos!J19/Datos!I19," - ")</f>
        <v>0.42606015638376804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-1.1258366800535475</v>
      </c>
      <c r="BM19" s="888">
        <f>IF(ISNUMBER((Datos!P19-Datos!Q19+R19)/(Datos!R19-Datos!P19+Datos!Q19-R19)),(Datos!P19-Datos!Q19+R19)/(Datos!R19-Datos!P19+Datos!Q19-R19)," - ")</f>
        <v>3.7991580244378272E-3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1339.6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3.419714088113865</v>
      </c>
      <c r="F21" s="550">
        <f>IF(ISNUMBER(STDEV(F8:F18)),STDEV(F8:F18),"-")</f>
        <v>1572.7021332725406</v>
      </c>
      <c r="G21" s="551">
        <f>IF(ISNUMBER(STDEV(G8:G18)),STDEV(G8:G18),"-")</f>
        <v>1602.4553971951918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1546.3986549399219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490.89883547088056</v>
      </c>
      <c r="BD21" s="550"/>
      <c r="BE21" s="550">
        <f>IF(ISNUMBER(STDEV(BE8:BE18)),STDEV(BE8:BE18),"-")</f>
        <v>0</v>
      </c>
      <c r="BF21" s="555">
        <f>IF(ISNUMBER(STDEV(BF8:BF18)),STDEV(BF8:BF18),"-")</f>
        <v>0</v>
      </c>
      <c r="BG21" s="774">
        <f>IF(ISNUMBER(STDEV(BG8:BG18)),STDEV(BG8:BG18),"-")</f>
        <v>0.1005109403032579</v>
      </c>
      <c r="BH21" s="775">
        <f>IF(ISNUMBER(STDEV(BH8:BH18)),STDEV(BH8:BH18),"-")</f>
        <v>3.0148636098583514</v>
      </c>
      <c r="BI21" s="248">
        <f>IF(ISNUMBER(STDEV(BI8:BI18)),STDEV(BI8:BI18),"-")</f>
        <v>9.2076918940109845E-2</v>
      </c>
      <c r="BJ21" s="229" t="str">
        <f>IF(ISNUMBER(BL21/BM21),BL21/BM21," - ")</f>
        <v xml:space="preserve"> - </v>
      </c>
      <c r="BK21" s="574"/>
      <c r="BL21" s="558">
        <f>IF(ISNUMBER(STDEV(BL8:BL18)),STDEV(BL8:BL18),"-")</f>
        <v>0.38452419944585531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YBGqJLlXTnMuFXWD+7BWD4Jvz+X5yJUoxG2uYWpeG395QwA1674qyKDDZvAJPvyaYWk8crNV+rqMyRY170c9Q==" saltValue="UPfKnk3O5sQ0CttOTqN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ELX-ELCHE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997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935</v>
      </c>
      <c r="AA9" s="331" t="str">
        <f>IF(ISNUMBER(IF(J_V="SI",Datos!L9,Datos!L9+Datos!AB9)-IF(Monitorios="SI",Datos!CD9,0)),
                          IF(J_V="SI",Datos!L9,Datos!L9+Datos!AB9)-IF(Monitorios="SI",Datos!CD9,0),
                          " - ")</f>
        <v xml:space="preserve"> - </v>
      </c>
      <c r="AB9" s="333"/>
      <c r="AC9" s="333"/>
      <c r="AD9" s="483"/>
      <c r="AE9" s="483">
        <f>IF(ISNUMBER(Datos!R9),Datos!R9," - ")</f>
        <v>17503</v>
      </c>
      <c r="AF9" s="228" t="str">
        <f>IF(ISNUMBER(Datos!BV9),Datos!BV9," - ")</f>
        <v xml:space="preserve"> - </v>
      </c>
      <c r="AG9" s="224" t="str">
        <f>IF(ISNUMBER(Datos!DV9),Datos!DV9," - ")</f>
        <v xml:space="preserve"> - </v>
      </c>
      <c r="AH9" s="297"/>
      <c r="AI9" s="226"/>
      <c r="AJ9" s="224">
        <f>IF(ISNUMBER(Datos!M9),Datos!M9," - ")</f>
        <v>1066</v>
      </c>
      <c r="AK9" s="228">
        <f>IF(ISNUMBER(Datos!N9),Datos!N9," - ")</f>
        <v>2164</v>
      </c>
      <c r="AL9" s="228" t="str">
        <f>IF(ISNUMBER(Datos!BW9),Datos!BW9," - ")</f>
        <v xml:space="preserve"> - </v>
      </c>
      <c r="AM9" s="227" t="str">
        <f>IF(ISNUMBER(Datos!BX9),Datos!BX9," - ")</f>
        <v xml:space="preserve"> - </v>
      </c>
      <c r="AN9" s="242"/>
      <c r="AO9" s="259">
        <f>IF(ISNUMBER(((NºAsuntos!I9/NºAsuntos!G9)*11)/factor_trimestre),((NºAsuntos!I9/NºAsuntos!G9)*11)/factor_trimestre," - ")</f>
        <v>9.3090007087172228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3.5548420388739179E-3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132</v>
      </c>
      <c r="G10" s="224">
        <f>IF(ISNUMBER(Datos!I10),Datos!I10," - ")</f>
        <v>132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80</v>
      </c>
      <c r="Z10" s="618">
        <f>IF(ISNUMBER(Datos!Q10),Datos!Q10," - ")</f>
        <v>7</v>
      </c>
      <c r="AA10" s="331">
        <f>IF(ISNUMBER(Datos!L10),Datos!L10,"-")</f>
        <v>142</v>
      </c>
      <c r="AB10" s="333"/>
      <c r="AC10" s="333"/>
      <c r="AD10" s="483"/>
      <c r="AE10" s="483">
        <f>IF(ISNUMBER(Datos!R10),Datos!R10," - ")</f>
        <v>162</v>
      </c>
      <c r="AF10" s="228" t="str">
        <f>IF(ISNUMBER(Datos!BV10),Datos!BV10," - ")</f>
        <v xml:space="preserve"> - </v>
      </c>
      <c r="AG10" s="224" t="str">
        <f>IF(ISNUMBER(Datos!DV10),Datos!DV10," - ")</f>
        <v xml:space="preserve"> - </v>
      </c>
      <c r="AH10" s="297"/>
      <c r="AI10" s="226"/>
      <c r="AJ10" s="224">
        <f>IF(ISNUMBER(Datos!M10),Datos!M10," - ")</f>
        <v>36</v>
      </c>
      <c r="AK10" s="228">
        <f>IF(ISNUMBER(Datos!N10),Datos!N10," - ")</f>
        <v>37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5.3250000000000002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4.5161290322580643E-2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67</v>
      </c>
      <c r="AA11" s="331" t="str">
        <f>IF(ISNUMBER(IF(J_V="SI",Datos!L11,Datos!L11+Datos!AB11)-IF(Monitorios="SI",Datos!CD11,0)),
                          IF(J_V="SI",Datos!L11,Datos!L11+Datos!AB11)-IF(Monitorios="SI",Datos!CD11,0),
                          " - ")</f>
        <v xml:space="preserve"> - </v>
      </c>
      <c r="AB11" s="333"/>
      <c r="AC11" s="333"/>
      <c r="AD11" s="483"/>
      <c r="AE11" s="483">
        <f>IF(ISNUMBER(Datos!R11),Datos!R11," - ")</f>
        <v>1280</v>
      </c>
      <c r="AF11" s="228" t="str">
        <f>IF(ISNUMBER(Datos!BV11),Datos!BV11," - ")</f>
        <v xml:space="preserve"> - </v>
      </c>
      <c r="AG11" s="224" t="str">
        <f>IF(ISNUMBER(Datos!DV11),Datos!DV11," - ")</f>
        <v xml:space="preserve"> - </v>
      </c>
      <c r="AH11" s="297"/>
      <c r="AI11" s="226"/>
      <c r="AJ11" s="224">
        <f>IF(ISNUMBER(Datos!M11),Datos!M11," - ")</f>
        <v>203</v>
      </c>
      <c r="AK11" s="228">
        <f>IF(ISNUMBER(Datos!N11),Datos!N11," - ")</f>
        <v>288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4.4301765650080247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-1.8404907975460124E-2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132</v>
      </c>
      <c r="G13" s="897">
        <f>SUBTOTAL(9,G8:G12)</f>
        <v>132</v>
      </c>
      <c r="H13" s="907"/>
      <c r="I13" s="897">
        <f t="shared" ref="I13:N13" si="0">SUBTOTAL(9,I8:I12)</f>
        <v>0</v>
      </c>
      <c r="J13" s="866">
        <f t="shared" si="0"/>
        <v>0</v>
      </c>
      <c r="K13" s="907">
        <f t="shared" si="0"/>
        <v>0</v>
      </c>
      <c r="L13" s="907">
        <f t="shared" si="0"/>
        <v>0</v>
      </c>
      <c r="M13" s="907">
        <f t="shared" si="0"/>
        <v>0</v>
      </c>
      <c r="N13" s="907">
        <f t="shared" si="0"/>
        <v>1054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80</v>
      </c>
      <c r="Z13" s="906">
        <f t="shared" si="2"/>
        <v>1009</v>
      </c>
      <c r="AA13" s="899">
        <f t="shared" si="2"/>
        <v>142</v>
      </c>
      <c r="AB13" s="899">
        <f t="shared" si="2"/>
        <v>0</v>
      </c>
      <c r="AC13" s="899">
        <f t="shared" si="2"/>
        <v>0</v>
      </c>
      <c r="AD13" s="899">
        <f t="shared" si="2"/>
        <v>0</v>
      </c>
      <c r="AE13" s="899">
        <f t="shared" si="2"/>
        <v>18945</v>
      </c>
      <c r="AF13" s="907">
        <f t="shared" si="2"/>
        <v>0</v>
      </c>
      <c r="AG13" s="907">
        <f t="shared" si="2"/>
        <v>0</v>
      </c>
      <c r="AH13" s="907">
        <f t="shared" si="2"/>
        <v>0</v>
      </c>
      <c r="AI13" s="907">
        <f t="shared" si="2"/>
        <v>0</v>
      </c>
      <c r="AJ13" s="907">
        <f t="shared" si="2"/>
        <v>1305</v>
      </c>
      <c r="AK13" s="907">
        <f t="shared" si="2"/>
        <v>2489</v>
      </c>
      <c r="AL13" s="907">
        <f t="shared" si="2"/>
        <v>0</v>
      </c>
      <c r="AM13" s="907">
        <f t="shared" si="2"/>
        <v>0</v>
      </c>
      <c r="AN13" s="907">
        <f t="shared" si="2"/>
        <v>0</v>
      </c>
      <c r="AO13" s="903">
        <f>IF(ISNUMBER(((NºAsuntos!I13/NºAsuntos!G13)*11)/factor_trimestre),((NºAsuntos!I13/NºAsuntos!G13)*11)/factor_trimestre," - ")</f>
        <v>8.6286466774716377</v>
      </c>
      <c r="AP13" s="909" t="str">
        <f>IF(ISNUMBER(Datos!CI13/Datos!CJ13),Datos!CI13/Datos!CJ13," - ")</f>
        <v xml:space="preserve"> - </v>
      </c>
      <c r="AQ13" s="927">
        <f t="shared" ref="AQ13:AV13" si="3">SUBTOTAL(9,AQ9:AQ12)</f>
        <v>0</v>
      </c>
      <c r="AR13" s="927">
        <f t="shared" si="3"/>
        <v>3.0311224385994439E-2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2856</v>
      </c>
      <c r="G15" s="224">
        <f>IF(ISNUMBER(IF(D_I="SI",Datos!I15,Datos!I15+Datos!AC15)),IF(D_I="SI",Datos!I15,Datos!I15+Datos!AC15)," - ")</f>
        <v>2966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2744</v>
      </c>
      <c r="Z15" s="618">
        <f>IF(ISNUMBER(Datos!Q15),Datos!Q15," - ")</f>
        <v>122</v>
      </c>
      <c r="AA15" s="331">
        <f>IF(ISNUMBER(IF(D_I="SI",Datos!L15,Datos!L15+Datos!AF15)),IF(D_I="SI",Datos!L15,Datos!L15+Datos!AF15)," - ")</f>
        <v>3017</v>
      </c>
      <c r="AB15" s="333"/>
      <c r="AC15" s="333"/>
      <c r="AD15" s="483"/>
      <c r="AE15" s="483">
        <f>IF(ISNUMBER(Datos!R15),Datos!R15," - ")</f>
        <v>566</v>
      </c>
      <c r="AF15" s="228" t="str">
        <f>IF(ISNUMBER(Datos!BV15),Datos!BV15," - ")</f>
        <v xml:space="preserve"> - </v>
      </c>
      <c r="AG15" s="224"/>
      <c r="AH15" s="297"/>
      <c r="AI15" s="226"/>
      <c r="AJ15" s="224">
        <f>IF(ISNUMBER(Datos!M15),Datos!M15," - ")</f>
        <v>584</v>
      </c>
      <c r="AK15" s="228">
        <f>IF(ISNUMBER(Datos!N15),Datos!N15," - ")</f>
        <v>1357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3.2984693877551021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251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540</v>
      </c>
      <c r="Z17" s="618">
        <f>IF(ISNUMBER(Datos!Q17),Datos!Q17," - ")</f>
        <v>15</v>
      </c>
      <c r="AA17" s="331">
        <f>IF(ISNUMBER(Datos!L17),Datos!L17,"-")</f>
        <v>249</v>
      </c>
      <c r="AB17" s="333"/>
      <c r="AC17" s="333"/>
      <c r="AD17" s="483"/>
      <c r="AE17" s="483">
        <f>IF(ISNUMBER(Datos!R17),Datos!R17," - ")</f>
        <v>41</v>
      </c>
      <c r="AF17" s="228" t="str">
        <f>IF(ISNUMBER(Datos!BV17),Datos!BV17," - ")</f>
        <v xml:space="preserve"> - </v>
      </c>
      <c r="AG17" s="224" t="str">
        <f>IF(ISNUMBER(Datos!DV17),Datos!DV17," - ")</f>
        <v xml:space="preserve"> - </v>
      </c>
      <c r="AH17" s="297"/>
      <c r="AI17" s="226"/>
      <c r="AJ17" s="224">
        <f>IF(ISNUMBER(Datos!M17),Datos!M17," - ")</f>
        <v>92</v>
      </c>
      <c r="AK17" s="228">
        <f>IF(ISNUMBER(Datos!N17),Datos!N17," - ")</f>
        <v>299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1.3833333333333335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2856</v>
      </c>
      <c r="G18" s="897">
        <f>SUBTOTAL(9,G15:G17)</f>
        <v>3217</v>
      </c>
      <c r="H18" s="931">
        <f>SUBTOTAL(9,H15:H17)</f>
        <v>0</v>
      </c>
      <c r="I18" s="910">
        <f>SUBTOTAL(9,I15:I17)</f>
        <v>0</v>
      </c>
      <c r="J18" s="866">
        <f>SUBTOTAL(9,J14:J17)</f>
        <v>0</v>
      </c>
      <c r="K18" s="931">
        <f t="shared" ref="K18:S18" si="4">SUBTOTAL(9,K15:K17)</f>
        <v>0</v>
      </c>
      <c r="L18" s="931">
        <f t="shared" si="4"/>
        <v>0</v>
      </c>
      <c r="M18" s="931">
        <f t="shared" si="4"/>
        <v>0</v>
      </c>
      <c r="N18" s="931">
        <f t="shared" si="4"/>
        <v>166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3284</v>
      </c>
      <c r="Z18" s="931">
        <f t="shared" si="5"/>
        <v>137</v>
      </c>
      <c r="AA18" s="931">
        <f t="shared" si="5"/>
        <v>3266</v>
      </c>
      <c r="AB18" s="931">
        <f t="shared" si="5"/>
        <v>0</v>
      </c>
      <c r="AC18" s="931">
        <f t="shared" si="5"/>
        <v>0</v>
      </c>
      <c r="AD18" s="931">
        <f t="shared" si="5"/>
        <v>0</v>
      </c>
      <c r="AE18" s="931">
        <f t="shared" si="5"/>
        <v>607</v>
      </c>
      <c r="AF18" s="931">
        <f t="shared" si="5"/>
        <v>0</v>
      </c>
      <c r="AG18" s="931">
        <f t="shared" si="5"/>
        <v>0</v>
      </c>
      <c r="AH18" s="931">
        <f t="shared" si="5"/>
        <v>0</v>
      </c>
      <c r="AI18" s="931">
        <f t="shared" si="5"/>
        <v>0</v>
      </c>
      <c r="AJ18" s="931">
        <f t="shared" si="5"/>
        <v>676</v>
      </c>
      <c r="AK18" s="931">
        <f t="shared" si="5"/>
        <v>1656</v>
      </c>
      <c r="AL18" s="931">
        <f t="shared" si="5"/>
        <v>0</v>
      </c>
      <c r="AM18" s="931">
        <f t="shared" si="5"/>
        <v>0</v>
      </c>
      <c r="AN18" s="931">
        <f t="shared" si="5"/>
        <v>0</v>
      </c>
      <c r="AO18" s="933">
        <f>IF(ISNUMBER(((NºAsuntos!I18/NºAsuntos!G18)*11)/factor_trimestre),((NºAsuntos!I18/NºAsuntos!G18)*11)/factor_trimestre," - ")</f>
        <v>2.9835566382460414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2988</v>
      </c>
      <c r="G19" s="819">
        <f t="shared" si="7"/>
        <v>3349</v>
      </c>
      <c r="H19" s="820">
        <f t="shared" si="7"/>
        <v>0</v>
      </c>
      <c r="I19" s="819">
        <f t="shared" si="7"/>
        <v>0</v>
      </c>
      <c r="J19" s="821">
        <f t="shared" si="7"/>
        <v>0</v>
      </c>
      <c r="K19" s="819">
        <f t="shared" si="7"/>
        <v>0</v>
      </c>
      <c r="L19" s="822">
        <f t="shared" si="7"/>
        <v>0</v>
      </c>
      <c r="M19" s="819">
        <f t="shared" si="7"/>
        <v>0</v>
      </c>
      <c r="N19" s="820">
        <f t="shared" si="7"/>
        <v>1220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3364</v>
      </c>
      <c r="Z19" s="826">
        <f t="shared" si="8"/>
        <v>1146</v>
      </c>
      <c r="AA19" s="827">
        <f t="shared" si="8"/>
        <v>3408</v>
      </c>
      <c r="AB19" s="827">
        <f t="shared" si="8"/>
        <v>0</v>
      </c>
      <c r="AC19" s="827">
        <f t="shared" si="8"/>
        <v>0</v>
      </c>
      <c r="AD19" s="828">
        <f t="shared" si="8"/>
        <v>0</v>
      </c>
      <c r="AE19" s="828">
        <f t="shared" si="8"/>
        <v>19552</v>
      </c>
      <c r="AF19" s="829">
        <f t="shared" si="8"/>
        <v>0</v>
      </c>
      <c r="AG19" s="830">
        <f t="shared" si="8"/>
        <v>0</v>
      </c>
      <c r="AH19" s="831">
        <f t="shared" si="8"/>
        <v>0</v>
      </c>
      <c r="AI19" s="829">
        <f t="shared" si="8"/>
        <v>0</v>
      </c>
      <c r="AJ19" s="819">
        <f t="shared" si="8"/>
        <v>1981</v>
      </c>
      <c r="AK19" s="819">
        <f t="shared" si="8"/>
        <v>4145</v>
      </c>
      <c r="AL19" s="819">
        <f t="shared" si="8"/>
        <v>0</v>
      </c>
      <c r="AM19" s="832">
        <f t="shared" si="8"/>
        <v>0</v>
      </c>
      <c r="AN19" s="822">
        <f>IF(ISNUMBER(Datos!K19/Datos!J19),Datos!K19/Datos!J19," - ")</f>
        <v>1.0596115204286671</v>
      </c>
      <c r="AO19" s="822">
        <f>IF(ISNUMBER(FIND("06",Criterios!A8,1)),(IF(ISNUMBER(((Datos!R19/Datos!Q19)*11)/factor_trimestre),((Datos!R19/Datos!Q19)*11)/factor_trimestre," - ")),(IF(ISNUMBER(((Datos!L19/Datos!K19)*11)/factor_trimestre),((Datos!L19/Datos!K19)*11)/factor_trimestre," - ")))</f>
        <v>6.469911504424779</v>
      </c>
      <c r="AP19" s="833" t="str">
        <f>IF(ISNUMBER(Datos!CI19/Datos!CJ19),Datos!CI19/Datos!CJ19," - ")</f>
        <v xml:space="preserve"> - </v>
      </c>
      <c r="AQ19" s="833">
        <f>IF(OR(ISNUMBER(FIND("01",Criterios!A8,1)),ISNUMBER(FIND("02",Criterios!A8,1)),ISNUMBER(FIND("03",Criterios!A8,1)),ISNUMBER(FIND("04",Criterios!A8,1))),(J19-Y19+K19)/(F19-K19),(I19-Y19+K19)/(F19-K19))</f>
        <v>-1.1258366800535475</v>
      </c>
      <c r="AR19" s="833">
        <f>IF(ISNUMBER((Datos!P19-Datos!Q19+O19)/(Datos!R19-Datos!P19+Datos!Q19-O19)),(Datos!P19-Datos!Q19+O19)/(Datos!R19-Datos!P19+Datos!Q19-O19)," - ")</f>
        <v>3.7991580244378272E-3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1339.6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1572.7021332725406</v>
      </c>
      <c r="G21" s="551">
        <f>IF(ISNUMBER(STDEV(G8:G18)),STDEV(G8:G18),"-")</f>
        <v>1602.4553971951918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490.89883547088056</v>
      </c>
      <c r="AK21" s="251"/>
      <c r="AL21" s="251">
        <f>IF(ISNUMBER(STDEV(AL8:AL18)),STDEV(AL8:AL18),"-")</f>
        <v>0</v>
      </c>
      <c r="AM21" s="253">
        <f>IF(ISNUMBER(STDEV(AM8:AM18)),STDEV(AM8:AM18),"-")</f>
        <v>0</v>
      </c>
      <c r="AN21" s="538">
        <f>IF(ISNUMBER(STDEV(AN8:AN18)),STDEV(AN8:AN18),"-")</f>
        <v>0</v>
      </c>
      <c r="AO21" s="539">
        <f>IF(ISNUMBER(STDEV(AO8:AO18)),STDEV(AO8:AO18),"-")</f>
        <v>2.9492396675628458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wByVmTQhccMOcqVLNAuZ6Xt3RvXUms7yEM01lj534eypuU8711CZwI54ehxpcT8fcxSI46JbOhVjU8IM9/U2Q==" saltValue="Sc6+zeby04mFUmAQ22Nn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lt+pLys0l0wNoK6ihL0wl6B5n4zxi2xjnPvnsxdM4AUNODX3EF3j7mSBF2qzWGjCq33JSsqBe8B84ozc6+ACQ==" saltValue="nGIr2t6IPuNo32CxyL2z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2PXFP/X5H9M8MVXX8z6Gvhnisyu8k9sweKv8ow/jyYyZZKiXmT/FoiAoNzMXmRRyl/UxiSjwqsAM8GdKLLnQ==" saltValue="RQoERDrrG1pMDOv+fqMw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ELX-ELCHE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0.26438411669367912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0.18694780175211601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kE/wwKXh14U3Z2f6JGv0DTehi/sxhLakxQaYJxPEAf8PYvrzz200UmJmbI4RDE+K+O7Uk/yEgS8Xf+4FNl4Lw==" saltValue="EN6/jrj2EdXsaiqGrdBV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iN1iklikZaqiEYtOSNLeA/F0k+Tarq9o7WkFqiM+M3obyAhiIHRm+hk8mTHUyRzo02l5/7I+HZwID1pybtRKQ==" saltValue="Khw9YFJ/ab3cicJOrjay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ELX-ELCHE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13581</v>
      </c>
      <c r="D9" s="403">
        <f>IF(ISNUMBER(C9/Datos!BH9),C9/Datos!BH9," - ")</f>
        <v>2263.5</v>
      </c>
      <c r="E9" s="402">
        <f>IF(ISNUMBER(IF(J_V="SI",Datos!J9,Datos!J9+Datos!Z9)),IF(J_V="SI",Datos!J9,Datos!J9+Datos!Z9)," - ")</f>
        <v>3691</v>
      </c>
      <c r="F9" s="403">
        <f>IF(ISNUMBER(E9/B9),E9/B9," - ")</f>
        <v>615.16666666666663</v>
      </c>
      <c r="G9" s="402">
        <f>IF(ISNUMBER(IF(J_V="SI",Datos!K9,Datos!K9+Datos!AA9)),IF(J_V="SI",Datos!K9,Datos!K9+Datos!AA9)," - ")</f>
        <v>4233</v>
      </c>
      <c r="H9" s="403">
        <f>IF(ISNUMBER(G9/B9),G9/B9," - ")</f>
        <v>705.5</v>
      </c>
      <c r="I9" s="402">
        <f>IF(ISNUMBER(IF(J_V="SI",Datos!L9,Datos!L9+Datos!AB9)),IF(J_V="SI",Datos!L9,Datos!L9+Datos!AB9)," - ")</f>
        <v>13135</v>
      </c>
      <c r="J9" s="403">
        <f>IF(ISNUMBER(I9/B9),I9/B9," - ")</f>
        <v>2189.1666666666665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132</v>
      </c>
      <c r="D10" s="403">
        <f>IF(ISNUMBER(C10/Datos!BH10),C10/Datos!BH10," - ")</f>
        <v>66</v>
      </c>
      <c r="E10" s="402">
        <f>IF(ISNUMBER(Datos!J10),Datos!J10," - ")</f>
        <v>90</v>
      </c>
      <c r="F10" s="403">
        <f>IF(ISNUMBER(E10/B10),E10/B10," - ")</f>
        <v>45</v>
      </c>
      <c r="G10" s="402">
        <f>IF(ISNUMBER(Datos!K10),Datos!K10," - ")</f>
        <v>80</v>
      </c>
      <c r="H10" s="403">
        <f>IF(ISNUMBER(G10/B10),G10/B10," - ")</f>
        <v>40</v>
      </c>
      <c r="I10" s="402">
        <f>IF(ISNUMBER(Datos!L10),Datos!L10," - ")</f>
        <v>142</v>
      </c>
      <c r="J10" s="403">
        <f>IF(ISNUMBER(I10/B10),I10/B10," - ")</f>
        <v>71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920</v>
      </c>
      <c r="D11" s="403">
        <f>IF(ISNUMBER(C11/Datos!BH11),C11/Datos!BH11," - ")</f>
        <v>460</v>
      </c>
      <c r="E11" s="402">
        <f>IF(ISNUMBER(IF(J_V="SI",Datos!J11,Datos!J11+Datos!Z11)),IF(J_V="SI",Datos!J11,Datos!J11+Datos!Z11)," - ")</f>
        <v>624</v>
      </c>
      <c r="F11" s="403">
        <f>IF(ISNUMBER(E11/B11),E11/B11," - ")</f>
        <v>312</v>
      </c>
      <c r="G11" s="402">
        <f>IF(ISNUMBER(IF(J_V="SI",Datos!K11,Datos!K11+Datos!AA11)),IF(J_V="SI",Datos!K11,Datos!K11+Datos!AA11)," - ")</f>
        <v>623</v>
      </c>
      <c r="H11" s="403">
        <f>IF(ISNUMBER(G11/B11),G11/B11," - ")</f>
        <v>311.5</v>
      </c>
      <c r="I11" s="402">
        <f>IF(ISNUMBER(IF(J_V="SI",Datos!L11,Datos!L11+Datos!AB11)),IF(J_V="SI",Datos!L11,Datos!L11+Datos!AB11)," - ")</f>
        <v>920</v>
      </c>
      <c r="J11" s="403">
        <f>IF(ISNUMBER(I11/B11),I11/B11," - ")</f>
        <v>460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14633</v>
      </c>
      <c r="D13" s="849" t="str">
        <f>IF(ISNUMBER(C13/Datos!BI13),C13/Datos!BI13," - ")</f>
        <v xml:space="preserve"> - </v>
      </c>
      <c r="E13" s="848">
        <f>SUBTOTAL(9,E8:E12)</f>
        <v>4405</v>
      </c>
      <c r="F13" s="849">
        <f>IF(ISNUMBER(E13/B13),E13/B13," - ")</f>
        <v>440.5</v>
      </c>
      <c r="G13" s="848">
        <f>SUBTOTAL(9,G8:G12)</f>
        <v>4936</v>
      </c>
      <c r="H13" s="849">
        <f>IF(ISNUMBER(G13/B13),G13/B13," - ")</f>
        <v>493.6</v>
      </c>
      <c r="I13" s="848">
        <f>SUBTOTAL(9,I8:I12)</f>
        <v>14197</v>
      </c>
      <c r="J13" s="849">
        <f>IF(ISNUMBER(I13/B13),I13/B13," - ")</f>
        <v>1419.7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2966</v>
      </c>
      <c r="D15" s="403">
        <f>IF(ISNUMBER(C15/Datos!BH15),C15/Datos!BH15," - ")</f>
        <v>593.20000000000005</v>
      </c>
      <c r="E15" s="402">
        <f>IF(ISNUMBER(IF(D_I="SI",Datos!J15,Datos!J15+Datos!AD15)),IF(D_I="SI",Datos!J15,Datos!J15+Datos!AD15)," - ")</f>
        <v>2905</v>
      </c>
      <c r="F15" s="403">
        <f>IF(ISNUMBER(E15/B15),E15/B15," - ")</f>
        <v>581</v>
      </c>
      <c r="G15" s="402">
        <f>IF(ISNUMBER(IF(D_I="SI",Datos!K15,Datos!K15+Datos!AE15)),IF(D_I="SI",Datos!K15,Datos!K15+Datos!AE15)," - ")</f>
        <v>2744</v>
      </c>
      <c r="H15" s="403">
        <f>IF(ISNUMBER(G15/B15),G15/B15," - ")</f>
        <v>548.79999999999995</v>
      </c>
      <c r="I15" s="402">
        <f>IF(ISNUMBER(IF(D_I="SI",Datos!L15,Datos!L15+Datos!AF15)),IF(D_I="SI",Datos!L15,Datos!L15+Datos!AF15)," - ")</f>
        <v>3017</v>
      </c>
      <c r="J15" s="403">
        <f>IF(ISNUMBER(I15/B15),I15/B15," - ")</f>
        <v>603.4</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251</v>
      </c>
      <c r="D17" s="403">
        <f>IF(ISNUMBER(C17/Datos!BH17),C17/Datos!BH17," - ")</f>
        <v>125.5</v>
      </c>
      <c r="E17" s="402">
        <f>IF(ISNUMBER(IF(D_I="SI",Datos!J17,Datos!J17+Datos!AD17)),IF(D_I="SI",Datos!J17,Datos!J17+Datos!AD17)," - ")</f>
        <v>538</v>
      </c>
      <c r="F17" s="403">
        <f>IF(ISNUMBER(E17/B17),E17/B17," - ")</f>
        <v>269</v>
      </c>
      <c r="G17" s="402">
        <f>IF(ISNUMBER(IF(D_I="SI",Datos!K17,Datos!K17+Datos!AE17)),IF(D_I="SI",Datos!K17,Datos!K17+Datos!AE17)," - ")</f>
        <v>540</v>
      </c>
      <c r="H17" s="403">
        <f>IF(ISNUMBER(G17/B17),G17/B17," - ")</f>
        <v>270</v>
      </c>
      <c r="I17" s="402">
        <f>IF(ISNUMBER(IF(D_I="SI",Datos!L17,Datos!L17+Datos!AF17)),IF(D_I="SI",Datos!L17,Datos!L17+Datos!AF17)," - ")</f>
        <v>249</v>
      </c>
      <c r="J17" s="403">
        <f>IF(ISNUMBER(I17/B17),I17/B17," - ")</f>
        <v>124.5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3217</v>
      </c>
      <c r="D18" s="849" t="str">
        <f>IF(ISNUMBER(C18/Datos!BI18),C18/Datos!BI18," - ")</f>
        <v xml:space="preserve"> - </v>
      </c>
      <c r="E18" s="848">
        <f>SUBTOTAL(9,E14:E17)</f>
        <v>3443</v>
      </c>
      <c r="F18" s="849">
        <f>IF(ISNUMBER(E18/B18),E18/B18," - ")</f>
        <v>491.85714285714283</v>
      </c>
      <c r="G18" s="848">
        <f>SUBTOTAL(9,G14:G17)</f>
        <v>3284</v>
      </c>
      <c r="H18" s="849">
        <f>IF(ISNUMBER(G18/B18),G18/B18," - ")</f>
        <v>469.14285714285717</v>
      </c>
      <c r="I18" s="848">
        <f>SUBTOTAL(9,I14:I17)</f>
        <v>3266</v>
      </c>
      <c r="J18" s="849">
        <f>IF(ISNUMBER(I18/B18),I18/B18," - ")</f>
        <v>466.57142857142856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17850</v>
      </c>
      <c r="D19" s="794" t="str">
        <f>IF(ISNUMBER(C19/Datos!BI19),C19/Datos!BI19," - ")</f>
        <v xml:space="preserve"> - </v>
      </c>
      <c r="E19" s="793">
        <f>SUBTOTAL(9,E9:E18)</f>
        <v>7848</v>
      </c>
      <c r="F19" s="794">
        <f>IF(ISNUMBER(E19/B19),E19/B19," - ")</f>
        <v>523.20000000000005</v>
      </c>
      <c r="G19" s="793">
        <f>SUBTOTAL(9,G9:G18)</f>
        <v>8220</v>
      </c>
      <c r="H19" s="794">
        <f>IF(ISNUMBER(G19/B19),G19/B19," - ")</f>
        <v>548</v>
      </c>
      <c r="I19" s="793">
        <f>SUBTOTAL(9,I9:I18)</f>
        <v>17463</v>
      </c>
      <c r="J19" s="794">
        <f>IF(ISNUMBER(I19/B19),I19/B19," - ")</f>
        <v>1164.2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HG9CttV2mJqppVa9VYHhTAOsDVPBflkP53Buu6Cm/JXh9DMpZS80AZ8GOrX1xLpiJBhwUVbA6W9V1HvMCjeFw==" saltValue="j5+HseK2qE9gTQ3eA8Vs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ELX-ELCHE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132</v>
      </c>
      <c r="G10" s="683">
        <f>IF(ISNUMBER(Datos!I10),Datos!I10," - ")</f>
        <v>132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80</v>
      </c>
      <c r="AC10" s="682" t="str">
        <f>IF(ISNUMBER(IF(D_I="SI",DatosP!K17,DatosP!K17+DatosP!AE17)),IF(D_I="SI",DatosP!K17,DatosP!K17+DatosP!AE17)," - ")</f>
        <v xml:space="preserve"> - </v>
      </c>
      <c r="AD10" s="684"/>
      <c r="AE10" s="684"/>
      <c r="AF10" s="687">
        <f>IF(ISNUMBER(Datos!L10),Datos!L10,"-")</f>
        <v>142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36</v>
      </c>
      <c r="AM10" s="689">
        <f>IF(ISNUMBER(Datos!N10+DatosP!N17),Datos!N10+DatosP!N17," - ")</f>
        <v>37</v>
      </c>
      <c r="AN10" s="689">
        <f>IF(ISNUMBER(Datos!BW10+DatosP!BW17),Datos!BW10+DatosP!BW17," - ")</f>
        <v>0</v>
      </c>
      <c r="AO10" s="690">
        <f>IF(ISNUMBER(Datos!BX10+DatosP!BX17),Datos!BX10+DatosP!BX17," - ")</f>
        <v>0</v>
      </c>
      <c r="AP10" s="692">
        <f>IF(ISNUMBER(((Datos!L10/Datos!K10)*11)/factor_trimestre),((Datos!L10/Datos!K10)*11)/factor_trimestre," - ")</f>
        <v>5.3250000000000002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132</v>
      </c>
      <c r="G13" s="937">
        <f t="shared" si="0"/>
        <v>132</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80</v>
      </c>
      <c r="AC13" s="938">
        <f t="shared" si="1"/>
        <v>0</v>
      </c>
      <c r="AD13" s="938">
        <f t="shared" si="1"/>
        <v>0</v>
      </c>
      <c r="AE13" s="938">
        <f t="shared" si="1"/>
        <v>0</v>
      </c>
      <c r="AF13" s="938">
        <f t="shared" si="1"/>
        <v>142</v>
      </c>
      <c r="AG13" s="938">
        <f t="shared" si="1"/>
        <v>0</v>
      </c>
      <c r="AH13" s="938">
        <f t="shared" si="1"/>
        <v>0</v>
      </c>
      <c r="AI13" s="938">
        <f t="shared" si="1"/>
        <v>0</v>
      </c>
      <c r="AJ13" s="938">
        <f t="shared" si="1"/>
        <v>0</v>
      </c>
      <c r="AK13" s="938">
        <f t="shared" si="1"/>
        <v>0</v>
      </c>
      <c r="AL13" s="938">
        <f t="shared" si="1"/>
        <v>36</v>
      </c>
      <c r="AM13" s="938">
        <f t="shared" si="1"/>
        <v>37</v>
      </c>
      <c r="AN13" s="938">
        <f t="shared" si="1"/>
        <v>0</v>
      </c>
      <c r="AO13" s="938">
        <f t="shared" si="1"/>
        <v>0</v>
      </c>
      <c r="AP13" s="943">
        <f>IF(ISNUMBER(((Datos!L13/Datos!K13)*11)/factor_trimestre),((Datos!L13/Datos!K13)*11)/factor_trimestre," - ")</f>
        <v>8.9448767833981844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-0.60606060606060608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2.9835566382460414</v>
      </c>
      <c r="AQ18" s="943">
        <f>IF(ISNUMBER(((Datos!M18/Datos!L18)*11)/factor_trimestre),((Datos!M18/Datos!L18)*11)/factor_trimestre," - ")</f>
        <v>0.62094304960195956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5.0173010380622836E-2</v>
      </c>
      <c r="AW18" s="945">
        <f>IF(ISNUMBER((Datos!Q18-Datos!R18)/(Datos!S18-Datos!Q18+Datos!R18)),(Datos!Q18-Datos!R18)/(Datos!S18-Datos!Q18+Datos!R18)," - ")</f>
        <v>-0.13774912075029308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132</v>
      </c>
      <c r="G19" s="950">
        <f t="shared" si="4"/>
        <v>132</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80</v>
      </c>
      <c r="AC19" s="956">
        <f t="shared" si="5"/>
        <v>0</v>
      </c>
      <c r="AD19" s="956">
        <f t="shared" si="5"/>
        <v>0</v>
      </c>
      <c r="AE19" s="956">
        <f t="shared" si="5"/>
        <v>0</v>
      </c>
      <c r="AF19" s="957">
        <f t="shared" si="5"/>
        <v>142</v>
      </c>
      <c r="AG19" s="957">
        <f t="shared" si="5"/>
        <v>0</v>
      </c>
      <c r="AH19" s="957">
        <f t="shared" si="5"/>
        <v>0</v>
      </c>
      <c r="AI19" s="957">
        <f t="shared" si="5"/>
        <v>0</v>
      </c>
      <c r="AJ19" s="958">
        <f t="shared" si="5"/>
        <v>0</v>
      </c>
      <c r="AK19" s="958">
        <f t="shared" si="5"/>
        <v>0</v>
      </c>
      <c r="AL19" s="950">
        <f t="shared" si="5"/>
        <v>36</v>
      </c>
      <c r="AM19" s="950">
        <f t="shared" si="5"/>
        <v>37</v>
      </c>
      <c r="AN19" s="950">
        <f t="shared" si="5"/>
        <v>0</v>
      </c>
      <c r="AO19" s="950">
        <f t="shared" si="5"/>
        <v>0</v>
      </c>
      <c r="AP19" s="950">
        <f>IF(ISNUMBER(((Datos!L19/Datos!K19)*11)/factor_trimestre),((Datos!L19/Datos!K19)*11)/factor_trimestre," - ")</f>
        <v>6.469911504424779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-0.60606060606060608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3.7991580244378272E-3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3.9327683210007001</v>
      </c>
      <c r="F21" s="735">
        <f>IF(ISNUMBER(STDEV(F8:F18)),STDEV(F8:F18),"-")</f>
        <v>76.210235533030598</v>
      </c>
      <c r="G21" s="736">
        <f>IF(ISNUMBER(STDEV(G8:G18)),STDEV(G8:G18),"-")</f>
        <v>76.210235533030598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46.188021535170058</v>
      </c>
      <c r="AC21" s="737">
        <f>IF(ISNUMBER(STDEV(AC8:AC18)),STDEV(AC8:AC18),"-")</f>
        <v>0</v>
      </c>
      <c r="AD21" s="740"/>
      <c r="AE21" s="740"/>
      <c r="AF21" s="740"/>
      <c r="AG21" s="740"/>
      <c r="AH21" s="740"/>
      <c r="AI21" s="740"/>
      <c r="AJ21" s="741">
        <f>IF(ISNUMBER(STDEV(AJ8:AJ18)),STDEV(AJ8:AJ18),"-")</f>
        <v>0</v>
      </c>
      <c r="AK21" s="743"/>
      <c r="AL21" s="735">
        <f>IF(ISNUMBER(STDEV(AL8:AL18)),STDEV(AL8:AL18),"-")</f>
        <v>20.784609690826528</v>
      </c>
      <c r="AM21" s="735"/>
      <c r="AN21" s="735">
        <f>IF(ISNUMBER(STDEV(AN8:AN18)),STDEV(AN8:AN18),"-")</f>
        <v>0</v>
      </c>
      <c r="AO21" s="741">
        <f>IF(ISNUMBER(STDEV(AO8:AO18)),STDEV(AO8:AO18),"-")</f>
        <v>0</v>
      </c>
      <c r="AP21" s="778">
        <f>IF(ISNUMBER(STDEV(AP8:AP18)),STDEV(AP8:AP18),"-")</f>
        <v>3.003420350652557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nAm+1XBXuwwPqSDc2196ZSpvXKQ1r2eU78x9tnZlehR8QkcgqaxXG43gV/1wwJGgSRX4ahsk8Qa0nYSro7HLA==" saltValue="R56JCGUUaI9G/RGvTZ1m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ELX-ELCHE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o7YnPhZGTdWBidM1C5V5Ww5X7bD258eOyfkZVOw4TVqzSMgQClVj/8JbrONELb0wIMVU4kk0Km/fZaYq6drJg==" saltValue="3XeikheCw+lOrY7l06uG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ELX-ELCHE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1066</v>
      </c>
      <c r="E9" s="403">
        <f t="shared" ref="E9:E13" si="0">IF(ISNUMBER(D9/B9),D9/B9," - ")</f>
        <v>177.66666666666666</v>
      </c>
      <c r="F9" s="402">
        <f>IF(ISNUMBER(Datos!N9),Datos!N9," - ")</f>
        <v>2164</v>
      </c>
      <c r="G9" s="403">
        <f t="shared" ref="G9:G13" si="1">IF(ISNUMBER(F9/B9),F9/B9," - ")</f>
        <v>360.66666666666669</v>
      </c>
      <c r="H9" s="402">
        <f>IF(ISNUMBER(Datos!O9),Datos!O9," - ")</f>
        <v>1567</v>
      </c>
      <c r="I9" s="403">
        <f>IF(ISNUMBER(H9/B9),H9/B9," - ")</f>
        <v>261.16666666666669</v>
      </c>
      <c r="BZ9" s="1185">
        <f>Datos!EZ9</f>
        <v>0</v>
      </c>
    </row>
    <row r="10" spans="1:78">
      <c r="A10" s="401" t="str">
        <f>Datos!A10</f>
        <v>Jdos. Violencia contra la mujer/Secc Viol. TI.</v>
      </c>
      <c r="B10" s="426">
        <f>Datos!AO10</f>
        <v>2</v>
      </c>
      <c r="C10" s="409">
        <f>Datos!AQ10</f>
        <v>2</v>
      </c>
      <c r="D10" s="402">
        <f>IF(ISNUMBER(Datos!M10),Datos!M10," - ")</f>
        <v>36</v>
      </c>
      <c r="E10" s="403">
        <f>IF(ISNUMBER(D10/B10),D10/B10," - ")</f>
        <v>18</v>
      </c>
      <c r="F10" s="402">
        <f>IF(ISNUMBER(Datos!N10),Datos!N10," - ")</f>
        <v>37</v>
      </c>
      <c r="G10" s="403">
        <f>IF(ISNUMBER(F10/B10),F10/B10," - ")</f>
        <v>18.5</v>
      </c>
      <c r="H10" s="402">
        <f>IF(ISNUMBER(Datos!O10),Datos!O10," - ")</f>
        <v>6</v>
      </c>
      <c r="I10" s="403">
        <f t="shared" ref="I10:I12" si="2">IF(ISNUMBER(H10/B10),H10/B10," - ")</f>
        <v>3</v>
      </c>
      <c r="BZ10" s="1185">
        <f>Datos!EZ10</f>
        <v>0</v>
      </c>
    </row>
    <row r="11" spans="1:78">
      <c r="A11" s="401" t="str">
        <f>Datos!A11</f>
        <v xml:space="preserve">Jdos. Familia                                   </v>
      </c>
      <c r="B11" s="426">
        <f>Datos!AO11</f>
        <v>2</v>
      </c>
      <c r="C11" s="409">
        <f>Datos!AQ11</f>
        <v>2</v>
      </c>
      <c r="D11" s="402">
        <f>IF(ISNUMBER(Datos!M11),Datos!M11," - ")</f>
        <v>203</v>
      </c>
      <c r="E11" s="403">
        <f t="shared" si="0"/>
        <v>101.5</v>
      </c>
      <c r="F11" s="402">
        <f>IF(ISNUMBER(Datos!N11),Datos!N11," - ")</f>
        <v>288</v>
      </c>
      <c r="G11" s="403">
        <f t="shared" si="1"/>
        <v>144</v>
      </c>
      <c r="H11" s="402">
        <f>IF(ISNUMBER(Datos!O11),Datos!O11," - ")</f>
        <v>211</v>
      </c>
      <c r="I11" s="403">
        <f t="shared" si="2"/>
        <v>105.5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1305</v>
      </c>
      <c r="E13" s="849">
        <f t="shared" si="0"/>
        <v>130.5</v>
      </c>
      <c r="F13" s="848">
        <f>SUBTOTAL(9,F9:F12)</f>
        <v>2489</v>
      </c>
      <c r="G13" s="849">
        <f t="shared" si="1"/>
        <v>248.9</v>
      </c>
      <c r="H13" s="848">
        <f>SUBTOTAL(9,H9:H12)</f>
        <v>1784</v>
      </c>
      <c r="I13" s="849">
        <f>IF(ISNUMBER(H13/B13),H13/B13," - ")</f>
        <v>178.4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584</v>
      </c>
      <c r="E15" s="403">
        <f t="shared" ref="E15:E18" si="3">IF(ISNUMBER(D15/B15),D15/B15," - ")</f>
        <v>116.8</v>
      </c>
      <c r="F15" s="402">
        <f>IF(ISNUMBER(Datos!N15),Datos!N15," - ")</f>
        <v>1357</v>
      </c>
      <c r="G15" s="403">
        <f t="shared" ref="G15:G18" si="4">IF(ISNUMBER(F15/B15),F15/B15," - ")</f>
        <v>271.39999999999998</v>
      </c>
      <c r="H15" s="402">
        <f>IF(ISNUMBER(Datos!O15),Datos!O15," - ")</f>
        <v>54</v>
      </c>
      <c r="I15" s="403">
        <f t="shared" ref="I15:I17" si="5">IF(ISNUMBER(H15/B15),H15/B15," - ")</f>
        <v>10.8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92</v>
      </c>
      <c r="E17" s="403">
        <f>IF(ISNUMBER(D17/B17),D17/B17," - ")</f>
        <v>46</v>
      </c>
      <c r="F17" s="402">
        <f>IF(ISNUMBER(Datos!N17),Datos!N17," - ")</f>
        <v>299</v>
      </c>
      <c r="G17" s="403">
        <f>IF(ISNUMBER(F17/B17),F17/B17," - ")</f>
        <v>149.5</v>
      </c>
      <c r="H17" s="402">
        <f>IF(ISNUMBER(Datos!O17),Datos!O17," - ")</f>
        <v>5</v>
      </c>
      <c r="I17" s="403">
        <f t="shared" si="5"/>
        <v>2.5</v>
      </c>
      <c r="BZ17" s="1185">
        <f>Datos!EZ17</f>
        <v>0</v>
      </c>
    </row>
    <row r="18" spans="1:78" ht="14.25" thickTop="1" thickBot="1">
      <c r="A18" s="847" t="str">
        <f>Datos!A18</f>
        <v>TOTAL</v>
      </c>
      <c r="B18" s="848">
        <f>Datos!AP18</f>
        <v>7</v>
      </c>
      <c r="C18" s="850">
        <f>Datos!AR18</f>
        <v>7</v>
      </c>
      <c r="D18" s="848">
        <f>SUBTOTAL(9,D15:D17)</f>
        <v>676</v>
      </c>
      <c r="E18" s="849">
        <f t="shared" si="3"/>
        <v>96.571428571428569</v>
      </c>
      <c r="F18" s="848">
        <f>SUBTOTAL(9,F15:F17)</f>
        <v>1656</v>
      </c>
      <c r="G18" s="849">
        <f t="shared" si="4"/>
        <v>236.57142857142858</v>
      </c>
      <c r="H18" s="848">
        <f>SUBTOTAL(9,H15:H17)</f>
        <v>59</v>
      </c>
      <c r="I18" s="849">
        <f>IF(ISNUMBER(H18/B18),H18/B18," - ")</f>
        <v>8.4285714285714288</v>
      </c>
      <c r="BZ18" s="1185"/>
    </row>
    <row r="19" spans="1:78" ht="14.25" thickTop="1" thickBot="1">
      <c r="A19" s="792" t="str">
        <f>Datos!A19</f>
        <v>TOTAL JURISDICCIONES</v>
      </c>
      <c r="B19" s="793">
        <f>Datos!AP19</f>
        <v>15</v>
      </c>
      <c r="C19" s="793">
        <f>Datos!AR19</f>
        <v>15</v>
      </c>
      <c r="D19" s="793">
        <f>SUBTOTAL(9,D8:D18)</f>
        <v>1981</v>
      </c>
      <c r="E19" s="794">
        <f>IF(ISNUMBER(D19/B19),D19/B19," - ")</f>
        <v>132.06666666666666</v>
      </c>
      <c r="F19" s="793">
        <f>SUBTOTAL(9,F8:F18)</f>
        <v>4145</v>
      </c>
      <c r="G19" s="794">
        <f>IF(ISNUMBER(F19/B19),F19/B19," - ")</f>
        <v>276.33333333333331</v>
      </c>
      <c r="H19" s="793">
        <f>SUBTOTAL(9,H8:H18)</f>
        <v>1843</v>
      </c>
      <c r="I19" s="794">
        <f>IF(ISNUMBER(H19/B19),H19/B19," - ")</f>
        <v>122.86666666666666</v>
      </c>
    </row>
    <row r="22" spans="1:78">
      <c r="A22" s="390" t="str">
        <f>Criterios!A4</f>
        <v>Fecha Informe: 17 mar. 2026</v>
      </c>
    </row>
    <row r="27" spans="1:78">
      <c r="A27" s="413"/>
    </row>
  </sheetData>
  <sheetProtection algorithmName="SHA-512" hashValue="EInQEHo34vpVqdhJNs0P4ZE9jYu4jW5t2U90FP40TsVAVVg2IrT5+jnnrGAAlMtS03bjZq/s0kQ3S5DI73EG8A==" saltValue="Rd5IVF4bcvN/pL7FYr5B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ELX-ELCHE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997</v>
      </c>
      <c r="C9" s="433">
        <f>IF(ISNUMBER(Datos!Q9),Datos!Q9," - ")</f>
        <v>935</v>
      </c>
      <c r="D9" s="407">
        <f>IF(ISNUMBER(Datos!R9),Datos!R9," - ")</f>
        <v>17503</v>
      </c>
    </row>
    <row r="10" spans="1:4">
      <c r="A10" s="401" t="str">
        <f>Datos!A10</f>
        <v>Jdos. Violencia contra la mujer/Secc Viol. TI.</v>
      </c>
      <c r="B10" s="432">
        <f>IF(ISNUMBER(Datos!P10),Datos!P10," - ")</f>
        <v>14</v>
      </c>
      <c r="C10" s="433">
        <f>IF(ISNUMBER(Datos!Q10),Datos!Q10," - ")</f>
        <v>7</v>
      </c>
      <c r="D10" s="407">
        <f>IF(ISNUMBER(Datos!R10),Datos!R10," - ")</f>
        <v>162</v>
      </c>
    </row>
    <row r="11" spans="1:4">
      <c r="A11" s="401" t="str">
        <f>Datos!A11</f>
        <v xml:space="preserve">Jdos. Familia                                   </v>
      </c>
      <c r="B11" s="432">
        <f>IF(ISNUMBER(Datos!P11),Datos!P11," - ")</f>
        <v>43</v>
      </c>
      <c r="C11" s="433">
        <f>IF(ISNUMBER(Datos!Q11),Datos!Q11," - ")</f>
        <v>67</v>
      </c>
      <c r="D11" s="407">
        <f>IF(ISNUMBER(Datos!R11),Datos!R11," - ")</f>
        <v>1280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1054</v>
      </c>
      <c r="C13" s="852">
        <f>SUBTOTAL(9,C9:C12)</f>
        <v>1009</v>
      </c>
      <c r="D13" s="850">
        <f>SUBTOTAL(9,D9:D12)</f>
        <v>18945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146</v>
      </c>
      <c r="C15" s="433">
        <f>IF(ISNUMBER(Datos!Q15),Datos!Q15," - ")</f>
        <v>122</v>
      </c>
      <c r="D15" s="407">
        <f>IF(ISNUMBER(Datos!R15),Datos!R15," - ")</f>
        <v>566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20</v>
      </c>
      <c r="C17" s="433">
        <f>IF(ISNUMBER(Datos!Q17),Datos!Q17," - ")</f>
        <v>15</v>
      </c>
      <c r="D17" s="407">
        <f>IF(ISNUMBER(Datos!R17),Datos!R17," - ")</f>
        <v>41</v>
      </c>
    </row>
    <row r="18" spans="1:4" ht="14.25" thickTop="1" thickBot="1">
      <c r="A18" s="847" t="str">
        <f>Datos!A18</f>
        <v>TOTAL</v>
      </c>
      <c r="B18" s="848">
        <f>SUBTOTAL(9,B15:B17)</f>
        <v>166</v>
      </c>
      <c r="C18" s="852">
        <f>SUBTOTAL(9,C15:C17)</f>
        <v>137</v>
      </c>
      <c r="D18" s="850">
        <f>SUBTOTAL(9,D15:D17)</f>
        <v>607</v>
      </c>
    </row>
    <row r="19" spans="1:4" ht="16.5" customHeight="1" thickTop="1" thickBot="1">
      <c r="A19" s="792" t="str">
        <f>Datos!A19</f>
        <v>TOTAL JURISDICCIONES</v>
      </c>
      <c r="B19" s="797">
        <f>SUBTOTAL(9,B8:B18)</f>
        <v>1220</v>
      </c>
      <c r="C19" s="798">
        <f>SUBTOTAL(9,C8:C18)</f>
        <v>1146</v>
      </c>
      <c r="D19" s="799">
        <f>SUBTOTAL(9,D8:D18)</f>
        <v>19552</v>
      </c>
    </row>
    <row r="20" spans="1:4" ht="7.5" customHeight="1"/>
    <row r="21" spans="1:4" ht="6" customHeight="1"/>
    <row r="22" spans="1:4">
      <c r="A22" s="390" t="str">
        <f>Criterios!A4</f>
        <v>Fecha Informe: 17 mar. 2026</v>
      </c>
    </row>
    <row r="27" spans="1:4">
      <c r="A27" s="413"/>
    </row>
  </sheetData>
  <sheetProtection algorithmName="SHA-512" hashValue="EVryqMumeV+2YZUp9RlIaV/0uAJkSzDRjrTeJFfWVvAOp4km/YMWqEuW4HfInh4YoJjAt3U+8lkPBxV6+wS+XA==" saltValue="RVVO7ZRmjUMh3yZ5vWu0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ELX-ELCHE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1.6313702013021028E-2</v>
      </c>
      <c r="C9" s="455">
        <f>IF(ISNUMBER(
   IF(J_V="SI",(Datos!J9-Datos!T9)/Datos!T9,(Datos!J9+Datos!Z9-(Datos!T9+Datos!AH9))/(Datos!T9+Datos!AH9))
     ),IF(J_V="SI",(Datos!J9-Datos!T9)/Datos!T9,(Datos!J9+Datos!Z9-(Datos!T9+Datos!AH9))/(Datos!T9+Datos!AH9))," - ")</f>
        <v>-0.21717921527041356</v>
      </c>
      <c r="D9" s="455">
        <f>IF(ISNUMBER(
   IF(J_V="SI",(Datos!K9-Datos!U9)/Datos!U9,(Datos!K9+Datos!AA9-(Datos!U9+Datos!AI9))/(Datos!U9+Datos!AI9))
     ),IF(J_V="SI",(Datos!K9-Datos!U9)/Datos!U9,(Datos!K9+Datos!AA9-(Datos!U9+Datos!AI9))/(Datos!U9+Datos!AI9))," - ")</f>
        <v>2.9927007299270073E-2</v>
      </c>
      <c r="E9" s="455">
        <f>IF(ISNUMBER(
   IF(J_V="SI",(Datos!L9-Datos!V9)/Datos!V9,(Datos!L9+Datos!AB9-(Datos!V9+Datos!AJ9))/(Datos!V9+Datos!AJ9))
     ),IF(J_V="SI",(Datos!L9-Datos!V9)/Datos!V9,(Datos!L9+Datos!AB9-(Datos!V9+Datos!AJ9))/(Datos!V9+Datos!AJ9))," - ")</f>
        <v>-7.7079820123664974E-2</v>
      </c>
      <c r="F9" s="455">
        <f>IF(ISNUMBER((Datos!M9-Datos!W9)/Datos!W9),(Datos!M9-Datos!W9)/Datos!W9," - ")</f>
        <v>-7.7056277056277059E-2</v>
      </c>
      <c r="G9" s="456">
        <f>IF(ISNUMBER((Datos!N9-Datos!X9)/Datos!X9),(Datos!N9-Datos!X9)/Datos!X9," - ")</f>
        <v>0.34828660436137071</v>
      </c>
      <c r="H9" s="454">
        <f>IF(ISNUMBER(((NºAsuntos!G9/NºAsuntos!E9)-Datos!BD9)/Datos!BD9),((NºAsuntos!G9/NºAsuntos!E9)-Datos!BD9)/Datos!BD9," - ")</f>
        <v>0.31566129488378708</v>
      </c>
      <c r="I9" s="455">
        <f>IF(ISNUMBER(((NºAsuntos!I9/NºAsuntos!G9)-Datos!BE9)/Datos!BE9),((NºAsuntos!I9/NºAsuntos!G9)-Datos!BE9)/Datos!BE9," - ")</f>
        <v>-0.10389748658357266</v>
      </c>
      <c r="J9" s="460">
        <f>IF(ISNUMBER((('Resol  Asuntos'!D9/NºAsuntos!G9)-Datos!BF9)/Datos!BF9),(('Resol  Asuntos'!D9/NºAsuntos!G9)-Datos!BF9)/Datos!BF9," - ")</f>
        <v>-0.3551247320232</v>
      </c>
      <c r="K9" s="461">
        <f>IF(ISNUMBER((((NºAsuntos!C9+NºAsuntos!E9)/NºAsuntos!G9)-Datos!BG9)/Datos!BG9),(((NºAsuntos!C9+NºAsuntos!E9)/NºAsuntos!G9)-Datos!BG9)/Datos!BG9," - ")</f>
        <v>-7.2346471848229219E-2</v>
      </c>
    </row>
    <row r="10" spans="1:11" ht="21">
      <c r="A10" s="401" t="str">
        <f>Datos!A10</f>
        <v>Jdos. Violencia contra la mujer/Secc Viol. TI.</v>
      </c>
      <c r="B10" s="454">
        <f>IF(ISNUMBER((Datos!I10-Datos!S10)/Datos!S10),(Datos!I10-Datos!S10)/Datos!S10," - ")</f>
        <v>-6.3829787234042548E-2</v>
      </c>
      <c r="C10" s="455">
        <f>IF(ISNUMBER((Datos!J10-Datos!T10)/Datos!T10),(Datos!J10-Datos!T10)/Datos!T10," - ")</f>
        <v>-0.31297709923664124</v>
      </c>
      <c r="D10" s="455">
        <f>IF(ISNUMBER((Datos!K10-Datos!U10)/Datos!U10),(Datos!K10-Datos!U10)/Datos!U10," - ")</f>
        <v>-0.2857142857142857</v>
      </c>
      <c r="E10" s="455">
        <f>IF(ISNUMBER((Datos!L10-Datos!V10)/Datos!V10),(Datos!L10-Datos!V10)/Datos!V10," - ")</f>
        <v>-0.1125</v>
      </c>
      <c r="F10" s="455">
        <f>IF(ISNUMBER((Datos!M10-Datos!W10)/Datos!W10),(Datos!M10-Datos!W10)/Datos!W10," - ")</f>
        <v>-0.32075471698113206</v>
      </c>
      <c r="G10" s="456">
        <f>IF(ISNUMBER((Datos!N10-Datos!X10)/Datos!X10),(Datos!N10-Datos!X10)/Datos!X10," - ")</f>
        <v>-0.11904761904761904</v>
      </c>
      <c r="H10" s="454">
        <f>IF(ISNUMBER(((NºAsuntos!G10/NºAsuntos!E10)-Datos!BD10)/Datos!BD10),((NºAsuntos!G10/NºAsuntos!E10)-Datos!BD10)/Datos!BD10," - ")</f>
        <v>3.9682539682539646E-2</v>
      </c>
      <c r="I10" s="455">
        <f>IF(ISNUMBER(((NºAsuntos!I10/NºAsuntos!G10)-Datos!BE10)/Datos!BE10),((NºAsuntos!I10/NºAsuntos!G10)-Datos!BE10)/Datos!BE10," - ")</f>
        <v>0.24249999999999991</v>
      </c>
      <c r="J10" s="460">
        <f>IF(ISNUMBER((('Resol  Asuntos'!D10/NºAsuntos!G10)-Datos!BF10)/Datos!BF10),(('Resol  Asuntos'!D10/NºAsuntos!G10)-Datos!BF10)/Datos!BF10," - ")</f>
        <v>-4.9056603773584853E-2</v>
      </c>
      <c r="K10" s="461">
        <f>IF(ISNUMBER((((NºAsuntos!C10+NºAsuntos!E10)/NºAsuntos!G10)-Datos!BG10)/Datos!BG10),(((NºAsuntos!C10+NºAsuntos!E10)/NºAsuntos!G10)-Datos!BG10)/Datos!BG10," - ")</f>
        <v>0.14264705882352946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-0.19439579684763572</v>
      </c>
      <c r="C11" s="455">
        <f>IF(ISNUMBER(
   IF(J_V="SI",(Datos!J11-Datos!T11)/Datos!T11,(Datos!J11+Datos!Z11-(Datos!T11+Datos!AH11))/(Datos!T11+Datos!AH11))
     ),IF(J_V="SI",(Datos!J11-Datos!T11)/Datos!T11,(Datos!J11+Datos!Z11-(Datos!T11+Datos!AH11))/(Datos!T11+Datos!AH11))," - ")</f>
        <v>-0.16910785619174434</v>
      </c>
      <c r="D11" s="455">
        <f>IF(ISNUMBER(
   IF(J_V="SI",(Datos!K11-Datos!U11)/Datos!U11,(Datos!K11+Datos!AA11-(Datos!U11+Datos!AI11))/(Datos!U11+Datos!AI11))
     ),IF(J_V="SI",(Datos!K11-Datos!U11)/Datos!U11,(Datos!K11+Datos!AA11-(Datos!U11+Datos!AI11))/(Datos!U11+Datos!AI11))," - ")</f>
        <v>-0.23651960784313725</v>
      </c>
      <c r="E11" s="455">
        <f>IF(ISNUMBER(
   IF(J_V="SI",(Datos!L11-Datos!V11)/Datos!V11,(Datos!L11+Datos!AB11-(Datos!V11+Datos!AJ11))/(Datos!V11+Datos!AJ11))
     ),IF(J_V="SI",(Datos!L11-Datos!V11)/Datos!V11,(Datos!L11+Datos!AB11-(Datos!V11+Datos!AJ11))/(Datos!V11+Datos!AJ11))," - ")</f>
        <v>-8.5487077534791248E-2</v>
      </c>
      <c r="F11" s="455">
        <f>IF(ISNUMBER((Datos!M11-Datos!W11)/Datos!W11),(Datos!M11-Datos!W11)/Datos!W11," - ")</f>
        <v>-0.25092250922509224</v>
      </c>
      <c r="G11" s="456">
        <f>IF(ISNUMBER((Datos!N11-Datos!X11)/Datos!X11),(Datos!N11-Datos!X11)/Datos!X11," - ")</f>
        <v>-0.30434782608695654</v>
      </c>
      <c r="H11" s="454">
        <f>IF(ISNUMBER(((NºAsuntos!G11/NºAsuntos!E11)-Datos!BD11)/Datos!BD11),((NºAsuntos!G11/NºAsuntos!E11)-Datos!BD11)/Datos!BD11," - ")</f>
        <v>-8.1131771618903961E-2</v>
      </c>
      <c r="I11" s="455">
        <f>IF(ISNUMBER(((NºAsuntos!I11/NºAsuntos!G11)-Datos!BE11)/Datos!BE11),((NºAsuntos!I11/NºAsuntos!G11)-Datos!BE11)/Datos!BE11," - ")</f>
        <v>0.19782109908765691</v>
      </c>
      <c r="J11" s="460">
        <f>IF(ISNUMBER((('Resol  Asuntos'!D11/NºAsuntos!G11)-Datos!BF11)/Datos!BF11),(('Resol  Asuntos'!D11/NºAsuntos!G11)-Datos!BF11)/Datos!BF11," - ")</f>
        <v>-0.35775932258589799</v>
      </c>
      <c r="K11" s="461">
        <f>IF(ISNUMBER((((NºAsuntos!C11+NºAsuntos!E11)/NºAsuntos!G11)-Datos!BG11)/Datos!BG11),(((NºAsuntos!C11+NºAsuntos!E11)/NºAsuntos!G11)-Datos!BG11)/Datos!BG11," - ")</f>
        <v>6.8313690974350985E-2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-8.8761436569711864E-4</v>
      </c>
      <c r="C13" s="854">
        <f>IF(ISNUMBER(
   IF(J_V="SI",(Datos!J13-Datos!T13)/Datos!T13,(Datos!J13+Datos!Z13-(Datos!T13+Datos!AH13))/(Datos!T13+Datos!AH13))
     ),IF(J_V="SI",(Datos!J13-Datos!T13)/Datos!T13,(Datos!J13+Datos!Z13-(Datos!T13+Datos!AH13))/(Datos!T13+Datos!AH13))," - ")</f>
        <v>-0.2129712345899589</v>
      </c>
      <c r="D13" s="854">
        <f>IF(ISNUMBER(
   IF(J_V="SI",(Datos!K13-Datos!U13)/Datos!U13,(Datos!K13+Datos!AA13-(Datos!U13+Datos!AI13))/(Datos!U13+Datos!AI13))
     ),IF(J_V="SI",(Datos!K13-Datos!U13)/Datos!U13,(Datos!K13+Datos!AA13-(Datos!U13+Datos!AI13))/(Datos!U13+Datos!AI13))," - ")</f>
        <v>-2.0246129416435093E-2</v>
      </c>
      <c r="E13" s="854">
        <f>IF(ISNUMBER(
   IF(J_V="SI",(Datos!L13-Datos!V13)/Datos!V13,(Datos!L13+Datos!AB13-(Datos!V13+Datos!AJ13))/(Datos!V13+Datos!AJ13))
     ),IF(J_V="SI",(Datos!L13-Datos!V13)/Datos!V13,(Datos!L13+Datos!AB13-(Datos!V13+Datos!AJ13))/(Datos!V13+Datos!AJ13))," - ")</f>
        <v>-7.7997142486037147E-2</v>
      </c>
      <c r="F13" s="855">
        <f>IF(ISNUMBER((Datos!M13-Datos!W13)/Datos!W13),(Datos!M13-Datos!W13)/Datos!W13," - ")</f>
        <v>-0.11764705882352941</v>
      </c>
      <c r="G13" s="856">
        <f>IF(ISNUMBER((Datos!N13-Datos!X13)/Datos!X13),(Datos!N13-Datos!X13)/Datos!X13," - ")</f>
        <v>0.2076661814653081</v>
      </c>
      <c r="H13" s="856">
        <f>IF(ISNUMBER(((NºAsuntos!G13/NºAsuntos!E13)-Datos!BD13)/Datos!BD13),((NºAsuntos!G13/NºAsuntos!E13)-Datos!BD13)/Datos!BD13," - ")</f>
        <v>0.24487682489357837</v>
      </c>
      <c r="I13" s="856">
        <f>IF(ISNUMBER(((NºAsuntos!I13/NºAsuntos!G13)-Datos!BE13)/Datos!BE13),((NºAsuntos!I13/NºAsuntos!G13)-Datos!BE13)/Datos!BE13," - ")</f>
        <v>-5.8944409206777848E-2</v>
      </c>
      <c r="J13" s="856">
        <f>IF(ISNUMBER((('Resol  Asuntos'!D13/NºAsuntos!G13)-Datos!BF13)/Datos!BF13),(('Resol  Asuntos'!D13/NºAsuntos!G13)-Datos!BF13)/Datos!BF13," - ")</f>
        <v>-0.35715869695812957</v>
      </c>
      <c r="K13" s="856">
        <f>IF(ISNUMBER((((NºAsuntos!C13+NºAsuntos!E13)/NºAsuntos!G13)-Datos!BG13)/Datos!BG13),(((NºAsuntos!C13+NºAsuntos!E13)/NºAsuntos!G13)-Datos!BG13)/Datos!BG13," - ")</f>
        <v>-4.0092335177832492E-2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7.3470865001809632E-2</v>
      </c>
      <c r="C15" s="455">
        <f>IF(ISNUMBER(
   IF(D_I="SI",(Datos!J15-Datos!T15)/Datos!T15,(Datos!J15+Datos!AD15-(Datos!T15+Datos!AL15))/(Datos!T15+Datos!AL15))
     ),IF(D_I="SI",(Datos!J15-Datos!T15)/Datos!T15,(Datos!J15+Datos!AD15-(Datos!T15+Datos!AL15))/(Datos!T15+Datos!AL15))," - ")</f>
        <v>0.16619831393014853</v>
      </c>
      <c r="D15" s="455">
        <f>IF(ISNUMBER(
   IF(D_I="SI",(Datos!K15-Datos!U15)/Datos!U15,(Datos!K15+Datos!AE15-(Datos!U15+Datos!AM15))/(Datos!U15+Datos!AM15))
     ),IF(D_I="SI",(Datos!K15-Datos!U15)/Datos!U15,(Datos!K15+Datos!AE15-(Datos!U15+Datos!AM15))/(Datos!U15+Datos!AM15))," - ")</f>
        <v>0.17365269461077845</v>
      </c>
      <c r="E15" s="455">
        <f>IF(ISNUMBER(
   IF(D_I="SI",(Datos!L15-Datos!V15)/Datos!V15,(Datos!L15+Datos!AF15-(Datos!V15+Datos!AN15))/(Datos!V15+Datos!AN15))
     ),IF(D_I="SI",(Datos!L15-Datos!V15)/Datos!V15,(Datos!L15+Datos!AF15-(Datos!V15+Datos!AN15))/(Datos!V15+Datos!AN15))," - ")</f>
        <v>1.2416107382550336E-2</v>
      </c>
      <c r="F15" s="455">
        <f>IF(ISNUMBER((Datos!M15-Datos!W15)/Datos!W15),(Datos!M15-Datos!W15)/Datos!W15," - ")</f>
        <v>1.2131715771230503E-2</v>
      </c>
      <c r="G15" s="456">
        <f>IF(ISNUMBER((Datos!N15-Datos!X15)/Datos!X15),(Datos!N15-Datos!X15)/Datos!X15," - ")</f>
        <v>0.33826429980276135</v>
      </c>
      <c r="H15" s="454">
        <f>IF(ISNUMBER(((NºAsuntos!G15/NºAsuntos!E15)-Datos!BD15)/Datos!BD15),((NºAsuntos!G15/NºAsuntos!E15)-Datos!BD15)/Datos!BD15," - ")</f>
        <v>6.392035206694938E-3</v>
      </c>
      <c r="I15" s="455">
        <f>IF(ISNUMBER(((NºAsuntos!I15/NºAsuntos!G15)-Datos!BE15)/Datos!BE15),((NºAsuntos!I15/NºAsuntos!G15)-Datos!BE15)/Datos!BE15," - ")</f>
        <v>-0.13738015340364337</v>
      </c>
      <c r="J15" s="460">
        <f>IF(ISNUMBER((('Resol  Asuntos'!D15/NºAsuntos!G15)-Datos!BF15)/Datos!BF15),(('Resol  Asuntos'!D15/NºAsuntos!G15)-Datos!BF15)/Datos!BF15," - ")</f>
        <v>-0.13762246666430877</v>
      </c>
      <c r="K15" s="461">
        <f>IF(ISNUMBER((((NºAsuntos!C15+NºAsuntos!E15)/NºAsuntos!G15)-Datos!BG15)/Datos!BG15),(((NºAsuntos!C15+NºAsuntos!E15)/NºAsuntos!G15)-Datos!BG15)/Datos!BG15," - ")</f>
        <v>-4.7900336381221764E-2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0.4022346368715084</v>
      </c>
      <c r="C17" s="455">
        <f>IF(ISNUMBER(
   IF(D_I="SI",(Datos!J17-Datos!T17)/Datos!T17,(Datos!J17+Datos!AD17-(Datos!T17+Datos!AL17))/(Datos!T17+Datos!AL17))
     ),IF(D_I="SI",(Datos!J17-Datos!T17)/Datos!T17,(Datos!J17+Datos!AD17-(Datos!T17+Datos!AL17))/(Datos!T17+Datos!AL17))," - ")</f>
        <v>-2.8880866425992781E-2</v>
      </c>
      <c r="D17" s="455">
        <f>IF(ISNUMBER(
   IF(D_I="SI",(Datos!K17-Datos!U17)/Datos!U17,(Datos!K17+Datos!AE17-(Datos!U17+Datos!AM17))/(Datos!U17+Datos!AM17))
     ),IF(D_I="SI",(Datos!K17-Datos!U17)/Datos!U17,(Datos!K17+Datos!AE17-(Datos!U17+Datos!AM17))/(Datos!U17+Datos!AM17))," - ")</f>
        <v>4.4487427466150871E-2</v>
      </c>
      <c r="E17" s="455">
        <f>IF(ISNUMBER(
   IF(D_I="SI",(Datos!L17-Datos!V17)/Datos!V17,(Datos!L17+Datos!AF17-(Datos!V17+Datos!AN17))/(Datos!V17+Datos!AN17))
     ),IF(D_I="SI",(Datos!L17-Datos!V17)/Datos!V17,(Datos!L17+Datos!AF17-(Datos!V17+Datos!AN17))/(Datos!V17+Datos!AN17))," - ")</f>
        <v>0.15277777777777779</v>
      </c>
      <c r="F17" s="455">
        <f>IF(ISNUMBER((Datos!M17-Datos!W17)/Datos!W17),(Datos!M17-Datos!W17)/Datos!W17," - ")</f>
        <v>-0.16363636363636364</v>
      </c>
      <c r="G17" s="456">
        <f>IF(ISNUMBER((Datos!N17-Datos!X17)/Datos!X17),(Datos!N17-Datos!X17)/Datos!X17," - ")</f>
        <v>-6.8535825545171333E-2</v>
      </c>
      <c r="H17" s="454">
        <f>IF(ISNUMBER(((NºAsuntos!G17/NºAsuntos!E17)-Datos!BD17)/Datos!BD17),((NºAsuntos!G17/NºAsuntos!E17)-Datos!BD17)/Datos!BD17," - ")</f>
        <v>7.5550250587820625E-2</v>
      </c>
      <c r="I17" s="455">
        <f>IF(ISNUMBER(((NºAsuntos!I17/NºAsuntos!G17)-Datos!BE17)/Datos!BE17),((NºAsuntos!I17/NºAsuntos!G17)-Datos!BE17)/Datos!BE17," - ")</f>
        <v>0.10367798353909473</v>
      </c>
      <c r="J17" s="460">
        <f>IF(ISNUMBER((('Resol  Asuntos'!D17/NºAsuntos!G17)-Datos!BF17)/Datos!BF17),(('Resol  Asuntos'!D17/NºAsuntos!G17)-Datos!BF17)/Datos!BF17," - ")</f>
        <v>-0.19925925925925927</v>
      </c>
      <c r="K17" s="461">
        <f>IF(ISNUMBER((((NºAsuntos!C17+NºAsuntos!E17)/NºAsuntos!G17)-Datos!BG17)/Datos!BG17),(((NºAsuntos!C17+NºAsuntos!E17)/NºAsuntos!G17)-Datos!BG17)/Datos!BG17," - ")</f>
        <v>3.0551765954221557E-2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9.3473827328348066E-2</v>
      </c>
      <c r="C18" s="854">
        <f>IF(ISNUMBER(
   IF(Criterios!B14="SI",(Datos!J18-Datos!T18)/Datos!T18,(Datos!J18+Datos!AD18-(Datos!T18+Datos!AL18))/(Datos!T18+Datos!AL18))
     ),IF(Criterios!B14="SI",(Datos!J18-Datos!T18)/Datos!T18,(Datos!J18+Datos!AD18-(Datos!T18+Datos!AL18))/(Datos!T18+Datos!AL18))," - ")</f>
        <v>0.13070607553366173</v>
      </c>
      <c r="D18" s="854">
        <f>IF(ISNUMBER(
   IF(Criterios!B14="SI",(Datos!K18-Datos!U18)/Datos!U18,(Datos!K18+Datos!AE18-(Datos!U18+Datos!AM18))/(Datos!U18+Datos!AM18))
     ),IF(Criterios!B14="SI",(Datos!K18-Datos!U18)/Datos!U18,(Datos!K18+Datos!AE18-(Datos!U18+Datos!AM18))/(Datos!U18+Datos!AM18))," - ")</f>
        <v>0.15026269702276707</v>
      </c>
      <c r="E18" s="854">
        <f>IF(ISNUMBER(
   IF(Criterios!B14="SI",(Datos!L18-Datos!V18)/Datos!V18,(Datos!L18+Datos!AF18-(Datos!V18+Datos!AN18))/(Datos!V18+Datos!AN18))
     ),IF(Criterios!B14="SI",(Datos!L18-Datos!V18)/Datos!V18,(Datos!L18+Datos!AF18-(Datos!V18+Datos!AN18))/(Datos!V18+Datos!AN18))," - ")</f>
        <v>2.1902377972465581E-2</v>
      </c>
      <c r="F18" s="855">
        <f>IF(ISNUMBER((Datos!M18-Datos!W18)/Datos!W18),(Datos!M18-Datos!W18)/Datos!W18," - ")</f>
        <v>-1.6011644832605532E-2</v>
      </c>
      <c r="G18" s="856">
        <f>IF(ISNUMBER((Datos!N18-Datos!X18)/Datos!X18),(Datos!N18-Datos!X18)/Datos!X18," - ")</f>
        <v>0.24044943820224718</v>
      </c>
      <c r="H18" s="856">
        <f>IF(ISNUMBER(((NºAsuntos!G18/NºAsuntos!E18)-Datos!BD18)/Datos!BD18),((NºAsuntos!G18/NºAsuntos!E18)-Datos!BD18)/Datos!BD18," - ")</f>
        <v>1.7295937390161446E-2</v>
      </c>
      <c r="I18" s="856">
        <f>IF(ISNUMBER(((NºAsuntos!I18/NºAsuntos!G18)-Datos!BE18)/Datos!BE18),((NºAsuntos!I18/NºAsuntos!G18)-Datos!BE18)/Datos!BE18," - ")</f>
        <v>-0.11159217749348688</v>
      </c>
      <c r="J18" s="856">
        <f>IF(ISNUMBER((('Resol  Asuntos'!D18/NºAsuntos!G18)-Datos!BF18)/Datos!BF18),(('Resol  Asuntos'!D18/NºAsuntos!G18)-Datos!BF18)/Datos!BF18," - ")</f>
        <v>-0.14455336358011225</v>
      </c>
      <c r="K18" s="856">
        <f>IF(ISNUMBER((((NºAsuntos!C18+NºAsuntos!E18)/NºAsuntos!G18)-Datos!BG18)/Datos!BG18),(((NºAsuntos!C18+NºAsuntos!E18)/NºAsuntos!G18)-Datos!BG18)/Datos!BG18," - ")</f>
        <v>-3.2907678370126772E-2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1.4896520354787356E-2</v>
      </c>
      <c r="C19" s="801">
        <f>IF(ISNUMBER(
   IF(J_V="SI",(Datos!J19-Datos!T19)/Datos!T19,(Datos!J19+Datos!Z19-(Datos!T19+Datos!AH19))/(Datos!T19+Datos!AH19))
     ),IF(J_V="SI",(Datos!J19-Datos!T19)/Datos!T19,(Datos!J19+Datos!Z19-(Datos!T19+Datos!AH19))/(Datos!T19+Datos!AH19))," - ")</f>
        <v>-9.1876880351770426E-2</v>
      </c>
      <c r="D19" s="801">
        <f>IF(ISNUMBER(
   IF(J_V="SI",(Datos!K19-Datos!U19)/Datos!U19,(Datos!K19+Datos!AA19-(Datos!U19+Datos!AI19))/(Datos!U19+Datos!AI19))
     ),IF(J_V="SI",(Datos!K19-Datos!U19)/Datos!U19,(Datos!K19+Datos!AA19-(Datos!U19+Datos!AI19))/(Datos!U19+Datos!AI19))," - ")</f>
        <v>4.1429114405169137E-2</v>
      </c>
      <c r="E19" s="801">
        <f>IF(ISNUMBER(
   IF(J_V="SI",(Datos!L19-Datos!V19)/Datos!V19,(Datos!L19+Datos!AB19-(Datos!V19+Datos!AJ19))/(Datos!V19+Datos!AJ19))
     ),IF(J_V="SI",(Datos!L19-Datos!V19)/Datos!V19,(Datos!L19+Datos!AB19-(Datos!V19+Datos!AJ19))/(Datos!V19+Datos!AJ19))," - ")</f>
        <v>-6.0826072926750567E-2</v>
      </c>
      <c r="F19" s="802">
        <f>IF(ISNUMBER((Datos!M19-Datos!W19)/Datos!W19),(Datos!M19-Datos!W19)/Datos!W19," - ")</f>
        <v>-8.5410895660203143E-2</v>
      </c>
      <c r="G19" s="803">
        <f>IF(ISNUMBER((Datos!N19-Datos!X19)/Datos!X19),(Datos!N19-Datos!X19)/Datos!X19," - ")</f>
        <v>0.22055359246171968</v>
      </c>
      <c r="H19" s="804">
        <f>IF(ISNUMBER((Tasas!B19-Datos!BD19)/Datos!BD19),(Tasas!B19-Datos!BD19)/Datos!BD19," - ")</f>
        <v>0.14679286527643609</v>
      </c>
      <c r="I19" s="805">
        <f>IF(ISNUMBER((Tasas!C19-Datos!BE19)/Datos!BE19),(Tasas!C19-Datos!BE19)/Datos!BE19," - ")</f>
        <v>-9.8187371485503924E-2</v>
      </c>
      <c r="J19" s="806">
        <f>IF(ISNUMBER((Tasas!D19-Datos!BF19)/Datos!BF19),(Tasas!D19-Datos!BF19)/Datos!BF19," - ")</f>
        <v>-0.31054954852466909</v>
      </c>
      <c r="K19" s="806">
        <f>IF(ISNUMBER((Tasas!E19-Datos!BG19)/Datos!BG19),(Tasas!E19-Datos!BG19)/Datos!BG19," - ")</f>
        <v>-5.9256298159737944E-2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uprswEkOMvooFTHYTMjmfsNf9OpX8z4vcMirZtKwctvQulax0ch5e8u+LxJ+aI80aBhK7gi+LuEdJECdQMFZQ==" saltValue="WQlDOVQv39yUjcSevqGL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ELX-ELCHE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1.1468436738011378</v>
      </c>
      <c r="C9" s="442">
        <f>IF(ISNUMBER(NºAsuntos!I9/NºAsuntos!G9),NºAsuntos!I9/NºAsuntos!G9," - ")</f>
        <v>3.1030002362390738</v>
      </c>
      <c r="D9" s="443">
        <f>IF(ISNUMBER('Resol  Asuntos'!D9/NºAsuntos!G9),'Resol  Asuntos'!D9/NºAsuntos!G9," - ")</f>
        <v>0.25183085282305695</v>
      </c>
      <c r="E9" s="444">
        <f>IF(ISNUMBER((NºAsuntos!C9+NºAsuntos!E9)/NºAsuntos!G9),(NºAsuntos!C9+NºAsuntos!E9)/NºAsuntos!G9," - ")</f>
        <v>4.0803212851405624</v>
      </c>
      <c r="G9" s="462"/>
    </row>
    <row r="10" spans="1:7" ht="21">
      <c r="A10" s="401" t="str">
        <f>Datos!A10</f>
        <v>Jdos. Violencia contra la mujer/Secc Viol. TI.</v>
      </c>
      <c r="B10" s="441">
        <f>IF(ISNUMBER(NºAsuntos!G10/NºAsuntos!E10),NºAsuntos!G10/NºAsuntos!E10," - ")</f>
        <v>0.88888888888888884</v>
      </c>
      <c r="C10" s="442">
        <f>IF(ISNUMBER(NºAsuntos!I10/NºAsuntos!G10),NºAsuntos!I10/NºAsuntos!G10," - ")</f>
        <v>1.7749999999999999</v>
      </c>
      <c r="D10" s="443">
        <f>IF(ISNUMBER('Resol  Asuntos'!D10/NºAsuntos!G10),'Resol  Asuntos'!D10/NºAsuntos!G10," - ")</f>
        <v>0.45</v>
      </c>
      <c r="E10" s="444">
        <f>IF(ISNUMBER((NºAsuntos!C10+NºAsuntos!E10)/NºAsuntos!G10),(NºAsuntos!C10+NºAsuntos!E10)/NºAsuntos!G10," - ")</f>
        <v>2.7749999999999999</v>
      </c>
      <c r="G10" s="462"/>
    </row>
    <row r="11" spans="1:7">
      <c r="A11" s="401" t="str">
        <f>Datos!A11</f>
        <v xml:space="preserve">Jdos. Familia                                   </v>
      </c>
      <c r="B11" s="441">
        <f>IF(ISNUMBER(NºAsuntos!G11/NºAsuntos!E11),NºAsuntos!G11/NºAsuntos!E11," - ")</f>
        <v>0.9983974358974359</v>
      </c>
      <c r="C11" s="442">
        <f>IF(ISNUMBER(NºAsuntos!I11/NºAsuntos!G11),NºAsuntos!I11/NºAsuntos!G11," - ")</f>
        <v>1.4767255216693418</v>
      </c>
      <c r="D11" s="443">
        <f>IF(ISNUMBER('Resol  Asuntos'!D11/NºAsuntos!G11),'Resol  Asuntos'!D11/NºAsuntos!G11," - ")</f>
        <v>0.3258426966292135</v>
      </c>
      <c r="E11" s="444">
        <f>IF(ISNUMBER((NºAsuntos!C11+NºAsuntos!E11)/NºAsuntos!G11),(NºAsuntos!C11+NºAsuntos!E11)/NºAsuntos!G11," - ")</f>
        <v>2.4783306581059392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1.1205448354143019</v>
      </c>
      <c r="C13" s="858">
        <f>IF(ISNUMBER(NºAsuntos!I13/NºAsuntos!G13),NºAsuntos!I13/NºAsuntos!G13," - ")</f>
        <v>2.8762155591572123</v>
      </c>
      <c r="D13" s="859">
        <f>IF(ISNUMBER('Resol  Asuntos'!D13/NºAsuntos!G13),'Resol  Asuntos'!D13/NºAsuntos!G13," - ")</f>
        <v>0.26438411669367912</v>
      </c>
      <c r="E13" s="860">
        <f>IF(ISNUMBER((NºAsuntos!C13+NºAsuntos!E13)/NºAsuntos!G13),(NºAsuntos!C13+NºAsuntos!E13)/NºAsuntos!G13," - ")</f>
        <v>3.8569692058346838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0.944578313253012</v>
      </c>
      <c r="C15" s="442">
        <f>IF(ISNUMBER(NºAsuntos!I15/NºAsuntos!G15),NºAsuntos!I15/NºAsuntos!G15," - ")</f>
        <v>1.0994897959183674</v>
      </c>
      <c r="D15" s="443">
        <f>IF(ISNUMBER('Resol  Asuntos'!D15/NºAsuntos!G15),'Resol  Asuntos'!D15/NºAsuntos!G15," - ")</f>
        <v>0.21282798833819241</v>
      </c>
      <c r="E15" s="444">
        <f>IF(ISNUMBER((NºAsuntos!C15+NºAsuntos!E15)/NºAsuntos!G15),(NºAsuntos!C15+NºAsuntos!E15)/NºAsuntos!G15," - ")</f>
        <v>2.1395772594752187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1.003717472118959</v>
      </c>
      <c r="C17" s="442">
        <f>IF(ISNUMBER(NºAsuntos!I17/NºAsuntos!G17),NºAsuntos!I17/NºAsuntos!G17," - ")</f>
        <v>0.46111111111111114</v>
      </c>
      <c r="D17" s="443">
        <f>IF(ISNUMBER('Resol  Asuntos'!D17/NºAsuntos!G17),'Resol  Asuntos'!D17/NºAsuntos!G17," - ")</f>
        <v>0.17037037037037037</v>
      </c>
      <c r="E17" s="444">
        <f>IF(ISNUMBER((NºAsuntos!C17+NºAsuntos!E17)/NºAsuntos!G17),(NºAsuntos!C17+NºAsuntos!E17)/NºAsuntos!G17," - ")</f>
        <v>1.461111111111111</v>
      </c>
      <c r="G17" s="462"/>
    </row>
    <row r="18" spans="1:7" ht="14.25" thickTop="1" thickBot="1">
      <c r="A18" s="847" t="str">
        <f>Datos!A18</f>
        <v>TOTAL</v>
      </c>
      <c r="B18" s="857">
        <f>IF(ISNUMBER(NºAsuntos!G18/NºAsuntos!E18),NºAsuntos!G18/NºAsuntos!E18," - ")</f>
        <v>0.95381934359570142</v>
      </c>
      <c r="C18" s="858">
        <f>IF(ISNUMBER(NºAsuntos!I18/NºAsuntos!G18),NºAsuntos!I18/NºAsuntos!G18," - ")</f>
        <v>0.99451887941534711</v>
      </c>
      <c r="D18" s="861">
        <f>IF(ISNUMBER('Resol  Asuntos'!D18/NºAsuntos!G18),'Resol  Asuntos'!D18/NºAsuntos!G18," - ")</f>
        <v>0.20584652862362973</v>
      </c>
      <c r="E18" s="860">
        <f>IF(ISNUMBER((NºAsuntos!C18+NºAsuntos!E18)/NºAsuntos!G18),(NºAsuntos!C18+NºAsuntos!E18)/NºAsuntos!G18," - ")</f>
        <v>2.0280146163215589</v>
      </c>
      <c r="G18" s="462"/>
    </row>
    <row r="19" spans="1:7" ht="15.75" customHeight="1" thickTop="1" thickBot="1">
      <c r="A19" s="792" t="str">
        <f>Datos!A19</f>
        <v>TOTAL JURISDICCIONES</v>
      </c>
      <c r="B19" s="807">
        <f>IF(ISNUMBER(NºAsuntos!G19/NºAsuntos!E19),NºAsuntos!G19/NºAsuntos!E19," - ")</f>
        <v>1.047400611620795</v>
      </c>
      <c r="C19" s="808">
        <f>IF(ISNUMBER(NºAsuntos!I19/NºAsuntos!G19),NºAsuntos!I19/NºAsuntos!G19," - ")</f>
        <v>2.1244525547445257</v>
      </c>
      <c r="D19" s="809">
        <f>IF(ISNUMBER('Resol  Asuntos'!D19/NºAsuntos!G19),'Resol  Asuntos'!D19/NºAsuntos!G19," - ")</f>
        <v>0.24099756690997567</v>
      </c>
      <c r="E19" s="810">
        <f>IF(ISNUMBER((NºAsuntos!C19+NºAsuntos!E19)/NºAsuntos!G19),(NºAsuntos!C19+NºAsuntos!E19)/NºAsuntos!G19," - ")</f>
        <v>3.1262773722627739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lpJuqmcs5vPHvKcTl0wOLGLoQEo60+qsbhe/WsZpW/qmvx9mw7sycd8E5QdmW3vhKMUPrz9pnm63JYBS6rrRQ==" saltValue="MvTfDzXTOkWoNRco1jT2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ELX-ELCHE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997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935</v>
      </c>
      <c r="Y9" s="333">
        <f>SUM(W9:X9)</f>
        <v>935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17503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1066</v>
      </c>
      <c r="AJ9" s="228" t="str">
        <f>IF(ISNUMBER(Datos!BW9),Datos!BW9," - ")</f>
        <v xml:space="preserve"> - </v>
      </c>
      <c r="AK9" s="227" t="str">
        <f>IF(ISNUMBER(Datos!BX9),Datos!BX9," - ")</f>
        <v xml:space="preserve"> - </v>
      </c>
      <c r="AL9" s="242">
        <f>IF(ISNUMBER(NºAsuntos!G9/NºAsuntos!E9),NºAsuntos!G9/NºAsuntos!E9," - ")</f>
        <v>1.1468436738011378</v>
      </c>
      <c r="AM9" s="259">
        <f>IF(ISNUMBER(((NºAsuntos!I9/NºAsuntos!G9)*11)/factor_trimestre),((NºAsuntos!I9/NºAsuntos!G9)*11)/factor_trimestre," - ")</f>
        <v>9.3090007087172228</v>
      </c>
      <c r="AN9" s="243">
        <f>IF(ISNUMBER('Resol  Asuntos'!D9/NºAsuntos!G9),'Resol  Asuntos'!D9/NºAsuntos!G9," - ")</f>
        <v>0.25183085282305695</v>
      </c>
      <c r="AO9" s="244">
        <f>IF(ISNUMBER((NºAsuntos!C9+NºAsuntos!E9)/NºAsuntos!G9),(NºAsuntos!C9+NºAsuntos!E9)/NºAsuntos!G9," - ")</f>
        <v>4.0803212851405624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132</v>
      </c>
      <c r="G10" s="332">
        <f>IF(ISNUMBER(Datos!I10),Datos!I10," - ")</f>
        <v>132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80</v>
      </c>
      <c r="X10" s="225">
        <f>IF(ISNUMBER(Datos!Q10),Datos!Q10," - ")</f>
        <v>7</v>
      </c>
      <c r="Y10" s="333">
        <f t="shared" ref="Y10:Y12" si="0">SUM(W10:X10)</f>
        <v>87</v>
      </c>
      <c r="Z10" s="334" t="str">
        <f>IF(ISNUMBER(Datos!CC10),Datos!CC10," - ")</f>
        <v xml:space="preserve"> - </v>
      </c>
      <c r="AA10" s="331">
        <f>IF(ISNUMBER(Datos!L10),Datos!L10,"-")</f>
        <v>142</v>
      </c>
      <c r="AB10" s="333">
        <f>IF(ISNUMBER(Datos!R10),Datos!R10," - ")</f>
        <v>162</v>
      </c>
      <c r="AC10" s="333">
        <f t="shared" ref="AC10:AC12" si="1">IF(ISNUMBER(AA10+AB10),AA10+AB10," - ")</f>
        <v>304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36</v>
      </c>
      <c r="AJ10" s="230" t="str">
        <f>IF(ISNUMBER(Datos!BW10),Datos!BW10," - ")</f>
        <v xml:space="preserve"> - </v>
      </c>
      <c r="AK10" s="231" t="str">
        <f>IF(ISNUMBER(Datos!BX10),Datos!BX10," - ")</f>
        <v xml:space="preserve"> - </v>
      </c>
      <c r="AL10" s="242">
        <f>IF(ISNUMBER(NºAsuntos!G10/NºAsuntos!E10),NºAsuntos!G10/NºAsuntos!E10," - ")</f>
        <v>0.88888888888888884</v>
      </c>
      <c r="AM10" s="259">
        <f>IF(ISNUMBER(((NºAsuntos!I10/NºAsuntos!G10)*11)/factor_trimestre),((NºAsuntos!I10/NºAsuntos!G10)*11)/factor_trimestre," - ")</f>
        <v>5.3250000000000002</v>
      </c>
      <c r="AN10" s="243">
        <f>IF(ISNUMBER('Resol  Asuntos'!D10/NºAsuntos!G10),'Resol  Asuntos'!D10/NºAsuntos!G10," - ")</f>
        <v>0.45</v>
      </c>
      <c r="AO10" s="244">
        <f>IF(ISNUMBER((NºAsuntos!C10+NºAsuntos!E10)/NºAsuntos!G10),(NºAsuntos!C10+NºAsuntos!E10)/NºAsuntos!G10," - ")</f>
        <v>2.7749999999999999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67</v>
      </c>
      <c r="Y11" s="333">
        <f t="shared" si="0"/>
        <v>67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1280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203</v>
      </c>
      <c r="AJ11" s="230" t="str">
        <f>IF(ISNUMBER(Datos!BW11),Datos!BW11," - ")</f>
        <v xml:space="preserve"> - </v>
      </c>
      <c r="AK11" s="231" t="str">
        <f>IF(ISNUMBER(Datos!BX11),Datos!BX11," - ")</f>
        <v xml:space="preserve"> - </v>
      </c>
      <c r="AL11" s="242">
        <f>IF(ISNUMBER(NºAsuntos!G11/NºAsuntos!E11),NºAsuntos!G11/NºAsuntos!E11," - ")</f>
        <v>0.9983974358974359</v>
      </c>
      <c r="AM11" s="259">
        <f>IF(ISNUMBER(((NºAsuntos!I11/NºAsuntos!G11)*11)/factor_trimestre),((NºAsuntos!I11/NºAsuntos!G11)*11)/factor_trimestre," - ")</f>
        <v>4.4301765650080247</v>
      </c>
      <c r="AN11" s="243">
        <f>IF(ISNUMBER('Resol  Asuntos'!D11/NºAsuntos!G11),'Resol  Asuntos'!D11/NºAsuntos!G11," - ")</f>
        <v>0.3258426966292135</v>
      </c>
      <c r="AO11" s="244">
        <f>IF(ISNUMBER((NºAsuntos!C11+NºAsuntos!E11)/NºAsuntos!G11),(NºAsuntos!C11+NºAsuntos!E11)/NºAsuntos!G11," - ")</f>
        <v>2.4783306581059392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132</v>
      </c>
      <c r="G13" s="865">
        <f t="shared" si="3"/>
        <v>132</v>
      </c>
      <c r="H13" s="864">
        <f t="shared" si="3"/>
        <v>0</v>
      </c>
      <c r="I13" s="866">
        <f t="shared" si="3"/>
        <v>0</v>
      </c>
      <c r="J13" s="866">
        <f t="shared" si="3"/>
        <v>0</v>
      </c>
      <c r="K13" s="866">
        <f t="shared" si="3"/>
        <v>0</v>
      </c>
      <c r="L13" s="866">
        <f t="shared" si="3"/>
        <v>1054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80</v>
      </c>
      <c r="X13" s="866">
        <f t="shared" si="4"/>
        <v>1009</v>
      </c>
      <c r="Y13" s="867">
        <f t="shared" si="4"/>
        <v>1089</v>
      </c>
      <c r="Z13" s="867">
        <f t="shared" si="4"/>
        <v>0</v>
      </c>
      <c r="AA13" s="867">
        <f t="shared" si="4"/>
        <v>142</v>
      </c>
      <c r="AB13" s="867">
        <f t="shared" si="4"/>
        <v>18945</v>
      </c>
      <c r="AC13" s="867">
        <f t="shared" si="4"/>
        <v>304</v>
      </c>
      <c r="AD13" s="867">
        <f t="shared" si="4"/>
        <v>0</v>
      </c>
      <c r="AE13" s="871">
        <f t="shared" si="4"/>
        <v>0</v>
      </c>
      <c r="AF13" s="864">
        <f t="shared" si="4"/>
        <v>0</v>
      </c>
      <c r="AG13" s="872">
        <f t="shared" si="4"/>
        <v>0</v>
      </c>
      <c r="AH13" s="869">
        <f t="shared" si="4"/>
        <v>0</v>
      </c>
      <c r="AI13" s="864">
        <f t="shared" si="4"/>
        <v>1305</v>
      </c>
      <c r="AJ13" s="866">
        <f t="shared" si="4"/>
        <v>0</v>
      </c>
      <c r="AK13" s="869">
        <f>SUBTOTAL(9,AK9:AK12)</f>
        <v>0</v>
      </c>
      <c r="AL13" s="873">
        <f>IF(ISNUMBER(NºAsuntos!G13/NºAsuntos!E13),NºAsuntos!G13/NºAsuntos!E13," - ")</f>
        <v>1.1205448354143019</v>
      </c>
      <c r="AM13" s="873">
        <f>IF(ISNUMBER(((NºAsuntos!I13/NºAsuntos!G13)*11)/factor_trimestre),((NºAsuntos!I13/NºAsuntos!G13)*11)/factor_trimestre," - ")</f>
        <v>8.6286466774716377</v>
      </c>
      <c r="AN13" s="874">
        <f>IF(ISNUMBER('Resol  Asuntos'!D13/NºAsuntos!G13),'Resol  Asuntos'!D13/NºAsuntos!G13," - ")</f>
        <v>0.26438411669367912</v>
      </c>
      <c r="AO13" s="875">
        <f>IF(ISNUMBER((NºAsuntos!C13+NºAsuntos!E13)/NºAsuntos!G13),(NºAsuntos!C13+NºAsuntos!E13)/NºAsuntos!G13," - ")</f>
        <v>3.8569692058346838</v>
      </c>
      <c r="AP13" s="876" t="str">
        <f t="shared" si="2"/>
        <v xml:space="preserve"> - </v>
      </c>
      <c r="AQ13" s="876">
        <f>IF(ISNUMBER((H13-W13+K13)/(F13)),(H13-W13+K13)/(F13)," - ")</f>
        <v>-0.60606060606060608</v>
      </c>
      <c r="AR13" s="877">
        <f>IF(ISNUMBER((Datos!P13-Datos!Q13)/(Datos!R13-Datos!P13+Datos!Q13)),(Datos!P13-Datos!Q13)/(Datos!R13-Datos!P13+Datos!Q13)," - ")</f>
        <v>2.3809523809523812E-3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2856</v>
      </c>
      <c r="G15" s="332">
        <f>IF(ISNUMBER(IF(D_I="SI",Datos!I15,Datos!I15+Datos!AC15)),IF(D_I="SI",Datos!I15,Datos!I15+Datos!AC15)," - ")</f>
        <v>2966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2744</v>
      </c>
      <c r="X15" s="225">
        <f>IF(ISNUMBER(Datos!Q15),Datos!Q15," - ")</f>
        <v>122</v>
      </c>
      <c r="Y15" s="333">
        <f>SUM(W15)</f>
        <v>2744</v>
      </c>
      <c r="Z15" s="334" t="str">
        <f>IF(ISNUMBER(Datos!CC15),Datos!CC15," - ")</f>
        <v xml:space="preserve"> - </v>
      </c>
      <c r="AA15" s="331">
        <f>IF(ISNUMBER(IF(D_I="SI",Datos!L15,Datos!L15+Datos!AF15)),IF(D_I="SI",Datos!L15,Datos!L15+Datos!AF15)," - ")</f>
        <v>3017</v>
      </c>
      <c r="AB15" s="333">
        <f>IF(ISNUMBER(Datos!R15),Datos!R15," - ")</f>
        <v>566</v>
      </c>
      <c r="AC15" s="333">
        <f t="shared" ref="AC15:AC17" si="6">IF(ISNUMBER(AA15+AB15),AA15+AB15," - ")</f>
        <v>3583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584</v>
      </c>
      <c r="AJ15" s="230" t="str">
        <f>IF(ISNUMBER(Datos!BW15),Datos!BW15," - ")</f>
        <v xml:space="preserve"> - </v>
      </c>
      <c r="AK15" s="231" t="str">
        <f>IF(ISNUMBER(Datos!BX15),Datos!BX15," - ")</f>
        <v xml:space="preserve"> - </v>
      </c>
      <c r="AL15" s="242">
        <f>IF(ISNUMBER(NºAsuntos!G15/NºAsuntos!E15),NºAsuntos!G15/NºAsuntos!E15," - ")</f>
        <v>0.944578313253012</v>
      </c>
      <c r="AM15" s="259">
        <f>IF(ISNUMBER(((NºAsuntos!I15/NºAsuntos!G15)*11)/factor_trimestre),((NºAsuntos!I15/NºAsuntos!G15)*11)/factor_trimestre," - ")</f>
        <v>3.2984693877551021</v>
      </c>
      <c r="AN15" s="243">
        <f>IF(ISNUMBER('Resol  Asuntos'!D15/NºAsuntos!G15),'Resol  Asuntos'!D15/NºAsuntos!G15," - ")</f>
        <v>0.21282798833819241</v>
      </c>
      <c r="AO15" s="244">
        <f>IF(ISNUMBER((NºAsuntos!C15+NºAsuntos!E15)/NºAsuntos!G15),(NºAsuntos!C15+NºAsuntos!E15)/NºAsuntos!G15," - ")</f>
        <v>2.1395772594752187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251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540</v>
      </c>
      <c r="X17" s="225">
        <f>IF(ISNUMBER(Datos!Q17),Datos!Q17," - ")</f>
        <v>15</v>
      </c>
      <c r="Y17" s="333">
        <f t="shared" si="7"/>
        <v>555</v>
      </c>
      <c r="Z17" s="334" t="str">
        <f>IF(ISNUMBER(Datos!CC17),Datos!CC17," - ")</f>
        <v xml:space="preserve"> - </v>
      </c>
      <c r="AA17" s="331">
        <f>IF(ISNUMBER(Datos!L17),Datos!L17,"-")</f>
        <v>249</v>
      </c>
      <c r="AB17" s="333">
        <f>IF(ISNUMBER(Datos!R17),Datos!R17," - ")</f>
        <v>41</v>
      </c>
      <c r="AC17" s="333">
        <f t="shared" si="6"/>
        <v>290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92</v>
      </c>
      <c r="AJ17" s="230" t="str">
        <f>IF(ISNUMBER(Datos!BW17),Datos!BW17," - ")</f>
        <v xml:space="preserve"> - </v>
      </c>
      <c r="AK17" s="231" t="str">
        <f>IF(ISNUMBER(Datos!BX17),Datos!BX17," - ")</f>
        <v xml:space="preserve"> - </v>
      </c>
      <c r="AL17" s="242">
        <f>IF(ISNUMBER(NºAsuntos!G17/NºAsuntos!E17),NºAsuntos!G17/NºAsuntos!E17," - ")</f>
        <v>1.003717472118959</v>
      </c>
      <c r="AM17" s="259">
        <f>IF(ISNUMBER(((NºAsuntos!I17/NºAsuntos!G17)*11)/factor_trimestre),((NºAsuntos!I17/NºAsuntos!G17)*11)/factor_trimestre," - ")</f>
        <v>1.3833333333333335</v>
      </c>
      <c r="AN17" s="243">
        <f>IF(ISNUMBER('Resol  Asuntos'!D17/NºAsuntos!G17),'Resol  Asuntos'!D17/NºAsuntos!G17," - ")</f>
        <v>0.17037037037037037</v>
      </c>
      <c r="AO17" s="244">
        <f>IF(ISNUMBER((NºAsuntos!C17+NºAsuntos!E17)/NºAsuntos!G17),(NºAsuntos!C17+NºAsuntos!E17)/NºAsuntos!G17," - ")</f>
        <v>1.461111111111111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2856</v>
      </c>
      <c r="G18" s="865">
        <f>SUBTOTAL(9,G15:G17)</f>
        <v>3217</v>
      </c>
      <c r="H18" s="864">
        <f t="shared" ref="H18:O18" si="10">SUBTOTAL(9,H14:H17)</f>
        <v>0</v>
      </c>
      <c r="I18" s="866">
        <f t="shared" si="10"/>
        <v>0</v>
      </c>
      <c r="J18" s="866">
        <f t="shared" si="10"/>
        <v>0</v>
      </c>
      <c r="K18" s="866">
        <f t="shared" si="10"/>
        <v>0</v>
      </c>
      <c r="L18" s="866">
        <f t="shared" si="10"/>
        <v>166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3284</v>
      </c>
      <c r="X18" s="866">
        <f t="shared" si="11"/>
        <v>137</v>
      </c>
      <c r="Y18" s="867">
        <f t="shared" si="11"/>
        <v>3299</v>
      </c>
      <c r="Z18" s="867">
        <f t="shared" si="11"/>
        <v>0</v>
      </c>
      <c r="AA18" s="867">
        <f t="shared" si="11"/>
        <v>3266</v>
      </c>
      <c r="AB18" s="867">
        <f t="shared" si="11"/>
        <v>607</v>
      </c>
      <c r="AC18" s="867">
        <f t="shared" si="11"/>
        <v>3873</v>
      </c>
      <c r="AD18" s="867">
        <f t="shared" si="11"/>
        <v>0</v>
      </c>
      <c r="AE18" s="871">
        <f t="shared" si="11"/>
        <v>0</v>
      </c>
      <c r="AF18" s="864">
        <f t="shared" si="11"/>
        <v>0</v>
      </c>
      <c r="AG18" s="872">
        <f t="shared" si="11"/>
        <v>0</v>
      </c>
      <c r="AH18" s="869">
        <f t="shared" si="11"/>
        <v>0</v>
      </c>
      <c r="AI18" s="864">
        <f t="shared" si="11"/>
        <v>676</v>
      </c>
      <c r="AJ18" s="866">
        <f t="shared" si="11"/>
        <v>0</v>
      </c>
      <c r="AK18" s="869">
        <f t="shared" si="11"/>
        <v>0</v>
      </c>
      <c r="AL18" s="873">
        <f>IF(ISNUMBER(NºAsuntos!G18/NºAsuntos!E18),NºAsuntos!G18/NºAsuntos!E18," - ")</f>
        <v>0.95381934359570142</v>
      </c>
      <c r="AM18" s="873">
        <f>IF(ISNUMBER(((NºAsuntos!I18/NºAsuntos!G18)*11)/factor_trimestre),((NºAsuntos!I18/NºAsuntos!G18)*11)/factor_trimestre," - ")</f>
        <v>2.9835566382460414</v>
      </c>
      <c r="AN18" s="874">
        <f>IF(ISNUMBER('Resol  Asuntos'!D18/NºAsuntos!G18),'Resol  Asuntos'!D18/NºAsuntos!G18," - ")</f>
        <v>0.20584652862362973</v>
      </c>
      <c r="AO18" s="875">
        <f>IF(ISNUMBER((NºAsuntos!C18+NºAsuntos!E18)/NºAsuntos!G18),(NºAsuntos!C18+NºAsuntos!E18)/NºAsuntos!G18," - ")</f>
        <v>2.0280146163215589</v>
      </c>
      <c r="AP18" s="876" t="str">
        <f t="shared" si="2"/>
        <v xml:space="preserve"> - </v>
      </c>
      <c r="AQ18" s="876">
        <f>IF(ISNUMBER((H18-W18+K18)/(F18)),(H18-W18+K18)/(F18)," - ")</f>
        <v>-1.1498599439775909</v>
      </c>
      <c r="AR18" s="877">
        <f>IF(ISNUMBER((Datos!P18-Datos!Q18)/(Datos!R18-Datos!P18+Datos!Q18)),(Datos!P18-Datos!Q18)/(Datos!R18-Datos!P18+Datos!Q18)," - ")</f>
        <v>5.0173010380622836E-2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2988</v>
      </c>
      <c r="G19" s="820">
        <f t="shared" si="13"/>
        <v>3349</v>
      </c>
      <c r="H19" s="819">
        <f t="shared" si="13"/>
        <v>0</v>
      </c>
      <c r="I19" s="821">
        <f t="shared" si="13"/>
        <v>0</v>
      </c>
      <c r="J19" s="821">
        <f t="shared" si="13"/>
        <v>0</v>
      </c>
      <c r="K19" s="880">
        <f t="shared" si="13"/>
        <v>0</v>
      </c>
      <c r="L19" s="821">
        <f t="shared" si="13"/>
        <v>1220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3364</v>
      </c>
      <c r="X19" s="820">
        <f t="shared" si="14"/>
        <v>1146</v>
      </c>
      <c r="Y19" s="827">
        <f t="shared" si="14"/>
        <v>4388</v>
      </c>
      <c r="Z19" s="827">
        <f t="shared" si="14"/>
        <v>0</v>
      </c>
      <c r="AA19" s="827">
        <f t="shared" si="14"/>
        <v>3408</v>
      </c>
      <c r="AB19" s="827">
        <f t="shared" si="14"/>
        <v>19552</v>
      </c>
      <c r="AC19" s="827">
        <f t="shared" si="14"/>
        <v>4177</v>
      </c>
      <c r="AD19" s="827">
        <f t="shared" si="14"/>
        <v>0</v>
      </c>
      <c r="AE19" s="829">
        <f t="shared" si="14"/>
        <v>0</v>
      </c>
      <c r="AF19" s="830">
        <f t="shared" si="14"/>
        <v>0</v>
      </c>
      <c r="AG19" s="831">
        <f t="shared" si="14"/>
        <v>0</v>
      </c>
      <c r="AH19" s="829">
        <f t="shared" si="14"/>
        <v>0</v>
      </c>
      <c r="AI19" s="819">
        <f t="shared" si="14"/>
        <v>1981</v>
      </c>
      <c r="AJ19" s="819">
        <f t="shared" si="14"/>
        <v>0</v>
      </c>
      <c r="AK19" s="829">
        <f t="shared" si="14"/>
        <v>0</v>
      </c>
      <c r="AL19" s="883">
        <f>IF(ISNUMBER(NºAsuntos!G19/NºAsuntos!E19),NºAsuntos!G19/NºAsuntos!E19," - ")</f>
        <v>1.047400611620795</v>
      </c>
      <c r="AM19" s="884">
        <f>IF(ISNUMBER(((NºAsuntos!I19/NºAsuntos!G19)*11)/factor_trimestre),((NºAsuntos!I19/NºAsuntos!G19)*11)/factor_trimestre," - ")</f>
        <v>6.373357664233577</v>
      </c>
      <c r="AN19" s="884">
        <f>IF(ISNUMBER('Resol  Asuntos'!D19/NºAsuntos!G19),'Resol  Asuntos'!D19/NºAsuntos!G19," - ")</f>
        <v>0.24099756690997567</v>
      </c>
      <c r="AO19" s="885">
        <f>IF(ISNUMBER((NºAsuntos!C19+NºAsuntos!E19)/NºAsuntos!G19),(NºAsuntos!C19+NºAsuntos!E19)/NºAsuntos!G19," - ")</f>
        <v>3.1262773722627739</v>
      </c>
      <c r="AP19" s="886" t="str">
        <f t="shared" si="2"/>
        <v xml:space="preserve"> - </v>
      </c>
      <c r="AQ19" s="887">
        <f>IF(OR(ISNUMBER(FIND("01",Criterios!A8,1)),ISNUMBER(FIND("02",Criterios!A8,1)),ISNUMBER(FIND("03",Criterios!A8,1)),ISNUMBER(FIND("04",Criterios!A8,1))),(I19-W19+K19)/(F19-K19),(H19-W19+K19)/(F19-K19))</f>
        <v>-1.1258366800535475</v>
      </c>
      <c r="AR19" s="888">
        <f>IF(ISNUMBER((Datos!P19-Datos!Q19)/(Datos!R19-Datos!P19+Datos!Q19)),(Datos!P19-Datos!Q19)/(Datos!R19-Datos!P19+Datos!Q19)," - ")</f>
        <v>3.7991580244378272E-3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1339.6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3.419714088113865</v>
      </c>
      <c r="F21" s="251">
        <f>IF(ISNUMBER(STDEV(F8:F18)),STDEV(F8:F18),"-")</f>
        <v>1572.7021332725406</v>
      </c>
      <c r="G21" s="252">
        <f>IF(ISNUMBER(STDEV(G8:G18)),STDEV(G8:G18),"-")</f>
        <v>1602.4553971951918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1546.3986549399219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490.89883547088056</v>
      </c>
      <c r="AJ21" s="251">
        <f t="shared" si="18"/>
        <v>0</v>
      </c>
      <c r="AK21" s="253">
        <f t="shared" si="18"/>
        <v>0</v>
      </c>
      <c r="AL21" s="248">
        <f t="shared" si="18"/>
        <v>9.4162693014977455E-2</v>
      </c>
      <c r="AM21" s="249">
        <f t="shared" si="18"/>
        <v>2.9492396675628458</v>
      </c>
      <c r="AN21" s="249">
        <f t="shared" si="18"/>
        <v>9.4144501969416441E-2</v>
      </c>
      <c r="AO21" s="250">
        <f t="shared" si="18"/>
        <v>0.9659348472071092</v>
      </c>
      <c r="AP21" s="290" t="str">
        <f t="shared" si="18"/>
        <v>-</v>
      </c>
      <c r="AQ21" s="291">
        <f t="shared" si="18"/>
        <v>0.38452419944585531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eZKQYLR+x+quHH7xx44aAFiZaY0H2OzolfFbgxyVu7s2x/WxUAydNvcsy8KhCHCo7Yty4aPIX5XSXeDr/a9ew==" saltValue="keVG+0q//J8pKQnmwAsx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ELX-ELCHE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-7.7056277056277059E-2</v>
      </c>
      <c r="I9" s="349">
        <f>IF(ISNUMBER((Tasas!C9-Datos!BE9)/Datos!BE9),(Tasas!C9-Datos!BE9)/Datos!BE9," - ")</f>
        <v>-0.10389748658357266</v>
      </c>
      <c r="J9" s="348">
        <f>IF(ISNUMBER((Tasas!D9-Datos!BF9)/Datos!BF9),(Tasas!D9-Datos!BF9)/Datos!BF9," - ")</f>
        <v>-0.3551247320232</v>
      </c>
      <c r="K9" s="350">
        <f>IF(ISNUMBER((Tasas!E9-Datos!BG9)/Datos!BG9),(Tasas!E9-Datos!BG9)/Datos!BG9," - ")</f>
        <v>-7.2346471848229219E-2</v>
      </c>
      <c r="M9" t="e">
        <f>IF(Monitorios="SI",Datos!CE9,0)</f>
        <v>#REF!</v>
      </c>
      <c r="N9" t="e">
        <f>IF(Monitorios="SI",Datos!CF9,0)</f>
        <v>#REF!</v>
      </c>
      <c r="O9" t="e">
        <f>IF(Monitorios="SI",Datos!CG9,0)</f>
        <v>#REF!</v>
      </c>
      <c r="P9" t="e">
        <f>IF(Monitorios="SI",Datos!CH9,0)</f>
        <v>#REF!</v>
      </c>
      <c r="Q9">
        <f>IF(J_V="SI",0,Datos!AG9)</f>
        <v>127</v>
      </c>
      <c r="R9">
        <f>IF(J_V="SI",0,Datos!AH9)</f>
        <v>76</v>
      </c>
      <c r="S9">
        <f>IF(J_V="SI",0,Datos!AI9)</f>
        <v>62</v>
      </c>
      <c r="T9">
        <f>IF(J_V="SI",0,Datos!AJ9)</f>
        <v>125</v>
      </c>
    </row>
    <row r="10" spans="2:20" ht="14.25">
      <c r="B10" s="274" t="s">
        <v>246</v>
      </c>
      <c r="C10" s="7" t="str">
        <f>Datos!A10</f>
        <v>Jdos. Violencia contra la mujer/Secc Viol. TI.</v>
      </c>
      <c r="D10" s="351">
        <f>IF(ISNUMBER((Datos!I10-Datos!S10)/Datos!S10),(Datos!I10-Datos!S10)/Datos!S10," - ")</f>
        <v>-6.3829787234042548E-2</v>
      </c>
      <c r="E10" s="347">
        <f>IF(ISNUMBER((Datos!J10-Datos!T10)/Datos!T10),(Datos!J10-Datos!T10)/Datos!T10," - ")</f>
        <v>-0.31297709923664124</v>
      </c>
      <c r="F10" s="347">
        <f>IF(ISNUMBER((Datos!K10-Datos!U10)/Datos!U10),(Datos!K10-Datos!U10)/Datos!U10," - ")</f>
        <v>-0.2857142857142857</v>
      </c>
      <c r="G10" s="348">
        <f>IF(ISNUMBER((Datos!L10-Datos!V10)/Datos!V10),(Datos!L10-Datos!V10)/Datos!V10," - ")</f>
        <v>-0.1125</v>
      </c>
      <c r="H10" s="229">
        <f>IF(ISNUMBER((Datos!M10-Datos!W10)/Datos!W10),(Datos!M10-Datos!W10)/Datos!W10," - ")</f>
        <v>-0.32075471698113206</v>
      </c>
      <c r="I10" s="349">
        <f>IF(ISNUMBER((Tasas!C10-Datos!BE10)/Datos!BE10),(Tasas!C10-Datos!BE10)/Datos!BE10," - ")</f>
        <v>0.24249999999999991</v>
      </c>
      <c r="J10" s="348">
        <f>IF(ISNUMBER((Tasas!D10-Datos!BF10)/Datos!BF10),(Tasas!D10-Datos!BF10)/Datos!BF10," - ")</f>
        <v>-4.9056603773584853E-2</v>
      </c>
      <c r="K10" s="350">
        <f>IF(ISNUMBER((Tasas!E10-Datos!BG10)/Datos!BG10),(Tasas!E10-Datos!BG10)/Datos!BG10," - ")</f>
        <v>0.14264705882352946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-0.25092250922509224</v>
      </c>
      <c r="I11" s="349">
        <f>IF(ISNUMBER((Tasas!C11-Datos!BE11)/Datos!BE11),(Tasas!C11-Datos!BE11)/Datos!BE11," - ")</f>
        <v>0.19782109908765691</v>
      </c>
      <c r="J11" s="348">
        <f>IF(ISNUMBER((Tasas!D11-Datos!BF11)/Datos!BF11),(Tasas!D11-Datos!BF11)/Datos!BF11," - ")</f>
        <v>-0.35775932258589799</v>
      </c>
      <c r="K11" s="350">
        <f>IF(ISNUMBER((Tasas!E11-Datos!BG11)/Datos!BG11),(Tasas!E11-Datos!BG11)/Datos!BG11," - ")</f>
        <v>6.8313690974350985E-2</v>
      </c>
      <c r="M11" t="e">
        <f>IF(Monitorios="SI",Datos!CE11,0)</f>
        <v>#REF!</v>
      </c>
      <c r="N11" t="e">
        <f>IF(Monitorios="SI",Datos!CF11,0)</f>
        <v>#REF!</v>
      </c>
      <c r="O11" t="e">
        <f>IF(Monitorios="SI",Datos!CG11,0)</f>
        <v>#REF!</v>
      </c>
      <c r="P11" t="e">
        <f>IF(Monitorios="SI",Datos!CH11,0)</f>
        <v>#REF!</v>
      </c>
      <c r="Q11">
        <f>IF(J_V="SI",0,Datos!AG11)</f>
        <v>176</v>
      </c>
      <c r="R11">
        <f>IF(J_V="SI",0,Datos!AH11)</f>
        <v>259</v>
      </c>
      <c r="S11">
        <f>IF(J_V="SI",0,Datos!AI11)</f>
        <v>252</v>
      </c>
      <c r="T11">
        <f>IF(J_V="SI",0,Datos!AJ11)</f>
        <v>183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-0.11764705882352941</v>
      </c>
      <c r="I13" s="356">
        <f>IF(ISNUMBER((Tasas!C13-Datos!BE13)/Datos!BE13),(Tasas!C13-Datos!BE13)/Datos!BE13," - ")</f>
        <v>-5.8944409206777848E-2</v>
      </c>
      <c r="J13" s="354">
        <f>IF(ISNUMBER((Tasas!D13-Datos!BF13)/Datos!BF13),(Tasas!D13-Datos!BF13)/Datos!BF13," - ")</f>
        <v>-0.35715869695812957</v>
      </c>
      <c r="K13" s="357">
        <f>IF(ISNUMBER((Tasas!E13-Datos!BG13)/Datos!BG13),(Tasas!E13-Datos!BG13)/Datos!BG13," - ")</f>
        <v>-4.0092335177832492E-2</v>
      </c>
      <c r="M13" t="e">
        <f>IF(Monitorios="SI",Datos!CE13,0)</f>
        <v>#REF!</v>
      </c>
      <c r="N13" t="e">
        <f>IF(Monitorios="SI",Datos!CF13,0)</f>
        <v>#REF!</v>
      </c>
      <c r="O13" t="e">
        <f>IF(Monitorios="SI",Datos!CG13,0)</f>
        <v>#REF!</v>
      </c>
      <c r="P13" t="e">
        <f>IF(Monitorios="SI",Datos!CH13,0)</f>
        <v>#REF!</v>
      </c>
      <c r="Q13">
        <f>IF(J_V="SI",0,Datos!AG13)</f>
        <v>303</v>
      </c>
      <c r="R13">
        <f>IF(J_V="SI",0,Datos!AH13)</f>
        <v>335</v>
      </c>
      <c r="S13">
        <f>IF(J_V="SI",0,Datos!AI13)</f>
        <v>314</v>
      </c>
      <c r="T13">
        <f>IF(J_V="SI",0,Datos!AJ13)</f>
        <v>308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7.3470865001809632E-2</v>
      </c>
      <c r="E15" s="347">
        <f>IF(ISNUMBER(
   IF(D_I="SI",(Datos!J15-Datos!T15)/Datos!T15,(Datos!J15+Datos!AD15-(Datos!T15+Datos!AL15))/(Datos!T15+Datos!AL15))
     ),IF(D_I="SI",(Datos!J15-Datos!T15)/Datos!T15,(Datos!J15+Datos!AD15-(Datos!T15+Datos!AL15))/(Datos!T15+Datos!AL15))," - ")</f>
        <v>0.16619831393014853</v>
      </c>
      <c r="F15" s="347">
        <f>IF(ISNUMBER(
   IF(D_I="SI",(Datos!K15-Datos!U15)/Datos!U15,(Datos!K15+Datos!AE15-(Datos!U15+Datos!AM15))/(Datos!U15+Datos!AM15))
     ),IF(D_I="SI",(Datos!K15-Datos!U15)/Datos!U15,(Datos!K15+Datos!AE15-(Datos!U15+Datos!AM15))/(Datos!U15+Datos!AM15))," - ")</f>
        <v>0.17365269461077845</v>
      </c>
      <c r="G15" s="348">
        <f>IF(ISNUMBER(
   IF(D_I="SI",(Datos!L15-Datos!V15)/Datos!V15,(Datos!L15+Datos!AF15-(Datos!V15+Datos!AN15))/(Datos!V15+Datos!AN15))
     ),IF(D_I="SI",(Datos!L15-Datos!V15)/Datos!V15,(Datos!L15+Datos!AF15-(Datos!V15+Datos!AN15))/(Datos!V15+Datos!AN15))," - ")</f>
        <v>1.2416107382550336E-2</v>
      </c>
      <c r="H15" s="229">
        <f>IF(ISNUMBER((Datos!M15-Datos!W15)/Datos!W15),(Datos!M15-Datos!W15)/Datos!W15," - ")</f>
        <v>1.2131715771230503E-2</v>
      </c>
      <c r="I15" s="349">
        <f>IF(ISNUMBER((Tasas!C15-Datos!BE15)/Datos!BE15),(Tasas!C15-Datos!BE15)/Datos!BE15," - ")</f>
        <v>-0.13738015340364337</v>
      </c>
      <c r="J15" s="348">
        <f>IF(ISNUMBER((Tasas!D15-Datos!BF15)/Datos!BF15),(Tasas!D15-Datos!BF15)/Datos!BF15," - ")</f>
        <v>-0.13762246666430877</v>
      </c>
      <c r="K15" s="350">
        <f>IF(ISNUMBER((Tasas!E15-Datos!BG15)/Datos!BG15),(Tasas!E15-Datos!BG15)/Datos!BG15," - ")</f>
        <v>-4.7900336381221764E-2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0.4022346368715084</v>
      </c>
      <c r="E17" s="347">
        <f>IF(ISNUMBER(
   IF(D_I="SI",(Datos!J17-Datos!T17)/Datos!T17,(Datos!J17+Datos!AD17-(Datos!T17+Datos!AL17))/(Datos!T17+Datos!AL17))
     ),IF(D_I="SI",(Datos!J17-Datos!T17)/Datos!T17,(Datos!J17+Datos!AD17-(Datos!T17+Datos!AL17))/(Datos!T17+Datos!AL17))," - ")</f>
        <v>-2.8880866425992781E-2</v>
      </c>
      <c r="F17" s="347">
        <f>IF(ISNUMBER(
   IF(D_I="SI",(Datos!K17-Datos!U17)/Datos!U17,(Datos!K17+Datos!AE17-(Datos!U17+Datos!AM17))/(Datos!U17+Datos!AM17))
     ),IF(D_I="SI",(Datos!K17-Datos!U17)/Datos!U17,(Datos!K17+Datos!AE17-(Datos!U17+Datos!AM17))/(Datos!U17+Datos!AM17))," - ")</f>
        <v>4.4487427466150871E-2</v>
      </c>
      <c r="G17" s="348">
        <f>IF(ISNUMBER(
   IF(D_I="SI",(Datos!L17-Datos!V17)/Datos!V17,(Datos!L17+Datos!AF17-(Datos!V17+Datos!AN17))/(Datos!V17+Datos!AN17))
     ),IF(D_I="SI",(Datos!L17-Datos!V17)/Datos!V17,(Datos!L17+Datos!AF17-(Datos!V17+Datos!AN17))/(Datos!V17+Datos!AN17))," - ")</f>
        <v>0.15277777777777779</v>
      </c>
      <c r="H17" s="229">
        <f>IF(ISNUMBER((Datos!M17-Datos!W17)/Datos!W17),(Datos!M17-Datos!W17)/Datos!W17," - ")</f>
        <v>-0.16363636363636364</v>
      </c>
      <c r="I17" s="349">
        <f>IF(ISNUMBER((Tasas!C17-Datos!BE17)/Datos!BE17),(Tasas!C17-Datos!BE17)/Datos!BE17," - ")</f>
        <v>0.10367798353909473</v>
      </c>
      <c r="J17" s="348">
        <f>IF(ISNUMBER((Tasas!D17-Datos!BF17)/Datos!BF17),(Tasas!D17-Datos!BF17)/Datos!BF17," - ")</f>
        <v>-0.19925925925925927</v>
      </c>
      <c r="K17" s="350">
        <f>IF(ISNUMBER((Tasas!E17-Datos!BG17)/Datos!BG17),(Tasas!E17-Datos!BG17)/Datos!BG17," - ")</f>
        <v>3.0551765954221557E-2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9.3473827328348066E-2</v>
      </c>
      <c r="E18" s="353">
        <f>IF(ISNUMBER(
   IF(D_I="SI",(Datos!J18-Datos!T18)/Datos!T18,(Datos!J18+Datos!AD18-(Datos!T18+Datos!AL18))/(Datos!T18+Datos!AL18))
     ),IF(D_I="SI",(Datos!J18-Datos!T18)/Datos!T18,(Datos!J18+Datos!AD18-(Datos!T18+Datos!AL18))/(Datos!T18+Datos!AL18))," - ")</f>
        <v>0.13070607553366173</v>
      </c>
      <c r="F18" s="353">
        <f>IF(ISNUMBER(
   IF(D_I="SI",(Datos!K18-Datos!U18)/Datos!U18,(Datos!K18+Datos!AE18-(Datos!U18+Datos!AM18))/(Datos!U18+Datos!AM18))
     ),IF(D_I="SI",(Datos!K18-Datos!U18)/Datos!U18,(Datos!K18+Datos!AE18-(Datos!U18+Datos!AM18))/(Datos!U18+Datos!AM18))," - ")</f>
        <v>0.15026269702276707</v>
      </c>
      <c r="G18" s="354">
        <f>IF(ISNUMBER(
   IF(D_I="SI",(Datos!L18-Datos!V18)/Datos!V18,(Datos!L18+Datos!AF18-(Datos!V18+Datos!AN18))/(Datos!V18+Datos!AN18))
     ),IF(D_I="SI",(Datos!L18-Datos!V18)/Datos!V18,(Datos!L18+Datos!AF18-(Datos!V18+Datos!AN18))/(Datos!V18+Datos!AN18))," - ")</f>
        <v>2.1902377972465581E-2</v>
      </c>
      <c r="H18" s="355">
        <f>IF(ISNUMBER((Datos!M18-Datos!W18)/Datos!W18),(Datos!M18-Datos!W18)/Datos!W18," - ")</f>
        <v>-1.6011644832605532E-2</v>
      </c>
      <c r="I18" s="356">
        <f>IF(ISNUMBER((Tasas!C18-Datos!BE18)/Datos!BE18),(Tasas!C18-Datos!BE18)/Datos!BE18," - ")</f>
        <v>-0.11159217749348688</v>
      </c>
      <c r="J18" s="354">
        <f>IF(ISNUMBER((Tasas!D18-Datos!BF18)/Datos!BF18),(Tasas!D18-Datos!BF18)/Datos!BF18," - ")</f>
        <v>-0.14455336358011225</v>
      </c>
      <c r="K18" s="357">
        <f>IF(ISNUMBER((Tasas!E18-Datos!BG18)/Datos!BG18),(Tasas!E18-Datos!BG18)/Datos!BG18," - ")</f>
        <v>-3.2907678370126772E-2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1.4896520354787356E-2</v>
      </c>
      <c r="E19" s="362">
        <f>IF(ISNUMBER(
   IF(J_V="SI",(Datos!J19-Datos!T19)/Datos!T19,(Datos!J19+Datos!Z19-(Datos!T19+Datos!AH19))/(Datos!T19+Datos!AH19))
     ),IF(J_V="SI",(Datos!J19-Datos!T19)/Datos!T19,(Datos!J19+Datos!Z19-(Datos!T19+Datos!AH19))/(Datos!T19+Datos!AH19))," - ")</f>
        <v>-9.1876880351770426E-2</v>
      </c>
      <c r="F19" s="362">
        <f>IF(ISNUMBER(
   IF(J_V="SI",(Datos!K19-Datos!U19)/Datos!U19,(Datos!K19+Datos!AA19-(Datos!U19+Datos!AI19))/(Datos!U19+Datos!AI19))
     ),IF(J_V="SI",(Datos!K19-Datos!U19)/Datos!U19,(Datos!K19+Datos!AA19-(Datos!U19+Datos!AI19))/(Datos!U19+Datos!AI19))," - ")</f>
        <v>4.1429114405169137E-2</v>
      </c>
      <c r="G19" s="363">
        <f>IF(ISNUMBER(
   IF(J_V="SI",(Datos!L19-Datos!V19)/Datos!V19,(Datos!L19+Datos!AB19-(Datos!V19+Datos!AJ19))/(Datos!V19+Datos!AJ19))
     ),IF(J_V="SI",(Datos!L19-Datos!V19)/Datos!V19,(Datos!L19+Datos!AB19-(Datos!V19+Datos!AJ19))/(Datos!V19+Datos!AJ19))," - ")</f>
        <v>-6.0826072926750567E-2</v>
      </c>
      <c r="H19" s="364">
        <f>IF(ISNUMBER((Datos!M19-Datos!W19)/Datos!W19),(Datos!M19-Datos!W19)/Datos!W19," - ")</f>
        <v>-8.5410895660203143E-2</v>
      </c>
      <c r="I19" s="361">
        <f>IF(ISNUMBER((Tasas!C19-Datos!BE19)/Datos!BE19),(Tasas!C19-Datos!BE19)/Datos!BE19," - ")</f>
        <v>-9.8187371485503924E-2</v>
      </c>
      <c r="J19" s="362">
        <f>IF(ISNUMBER((Tasas!D19-Datos!BF19)/Datos!BF19),(Tasas!D19-Datos!BF19)/Datos!BF19," - ")</f>
        <v>-0.31054954852466909</v>
      </c>
      <c r="K19" s="363">
        <f>IF(ISNUMBER((Tasas!E19-Datos!BG19)/Datos!BG19),(Tasas!E19-Datos!BG19)/Datos!BG19," - ")</f>
        <v>-5.9256298159737944E-2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0.19677205877639201</v>
      </c>
      <c r="E21" s="277">
        <f t="shared" si="1"/>
        <v>0.2183189721664672</v>
      </c>
      <c r="F21" s="277">
        <f t="shared" si="1"/>
        <v>0.21184630618883676</v>
      </c>
      <c r="G21" s="278">
        <f t="shared" si="1"/>
        <v>0.10838207515968</v>
      </c>
      <c r="H21" s="284">
        <f t="shared" si="1"/>
        <v>0.1212503216425727</v>
      </c>
      <c r="I21" s="276">
        <f t="shared" si="1"/>
        <v>0.159053289701136</v>
      </c>
      <c r="J21" s="277">
        <f t="shared" si="1"/>
        <v>0.12757704853015087</v>
      </c>
      <c r="K21" s="278">
        <f t="shared" si="1"/>
        <v>7.7281220523411048E-2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hmHw50wEH3U0Bydv03trOgL8orAw7uyMV0svPWZgJ7uJkmMCQ5/pW+Pbs3Rkc4xiKvdsxvyL79a9DRUvmV/SA==" saltValue="Lttb4/R65bqctW4TiJoU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